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en_skoroszyt"/>
  <xr:revisionPtr revIDLastSave="0" documentId="13_ncr:1_{7871211F-3780-4B6E-AA2B-B5E384F75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westycje(2c)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23" l="1"/>
  <c r="G52" i="23"/>
  <c r="H49" i="23"/>
  <c r="G49" i="23"/>
  <c r="H183" i="23"/>
  <c r="G183" i="23"/>
  <c r="H182" i="23"/>
  <c r="G182" i="23"/>
  <c r="H154" i="23"/>
  <c r="G154" i="23"/>
  <c r="H148" i="23"/>
  <c r="G148" i="23"/>
  <c r="H114" i="23"/>
  <c r="H116" i="23"/>
  <c r="H115" i="23"/>
  <c r="G115" i="23"/>
  <c r="F115" i="23"/>
  <c r="E115" i="23"/>
  <c r="H184" i="23"/>
  <c r="G184" i="23"/>
  <c r="H198" i="23"/>
  <c r="G198" i="23"/>
  <c r="G94" i="23" l="1"/>
  <c r="H73" i="23"/>
  <c r="H72" i="23" s="1"/>
  <c r="H32" i="23" l="1"/>
  <c r="G32" i="23"/>
  <c r="H63" i="23"/>
  <c r="G63" i="23"/>
  <c r="H62" i="23"/>
  <c r="G62" i="23"/>
  <c r="H60" i="23"/>
  <c r="G60" i="23"/>
  <c r="H38" i="23"/>
  <c r="G38" i="23"/>
  <c r="H150" i="23"/>
  <c r="H149" i="23" s="1"/>
  <c r="H77" i="23"/>
  <c r="H103" i="23"/>
  <c r="H101" i="23"/>
  <c r="G81" i="23"/>
  <c r="H81" i="23"/>
  <c r="H157" i="23"/>
  <c r="G157" i="23"/>
  <c r="H53" i="23"/>
  <c r="G53" i="23"/>
  <c r="H35" i="23"/>
  <c r="G35" i="23"/>
  <c r="H36" i="23"/>
  <c r="G36" i="23"/>
  <c r="H45" i="23"/>
  <c r="G45" i="23"/>
  <c r="H46" i="23"/>
  <c r="G46" i="23"/>
  <c r="H47" i="23"/>
  <c r="G47" i="23"/>
  <c r="H61" i="23"/>
  <c r="G61" i="23"/>
  <c r="H66" i="23"/>
  <c r="G66" i="23"/>
  <c r="H65" i="23"/>
  <c r="G65" i="23"/>
  <c r="H19" i="23"/>
  <c r="G19" i="23"/>
  <c r="H50" i="23"/>
  <c r="H43" i="23"/>
  <c r="G43" i="23"/>
  <c r="H126" i="23"/>
  <c r="G126" i="23"/>
  <c r="H96" i="23"/>
  <c r="H95" i="23" s="1"/>
  <c r="H106" i="23"/>
  <c r="G137" i="23"/>
  <c r="H134" i="23"/>
  <c r="G134" i="23"/>
  <c r="H142" i="23"/>
  <c r="H179" i="23"/>
  <c r="G179" i="23"/>
  <c r="H178" i="23"/>
  <c r="G178" i="23"/>
  <c r="H177" i="23"/>
  <c r="G177" i="23"/>
  <c r="H175" i="23"/>
  <c r="G175" i="23"/>
  <c r="H199" i="23"/>
  <c r="G199" i="23"/>
  <c r="H200" i="23"/>
  <c r="G200" i="23"/>
  <c r="H174" i="23" l="1"/>
  <c r="G135" i="23" l="1"/>
  <c r="H41" i="23"/>
  <c r="G41" i="23"/>
  <c r="H69" i="23"/>
  <c r="G69" i="23"/>
  <c r="H137" i="23"/>
  <c r="H135" i="23"/>
  <c r="G12" i="23"/>
  <c r="G40" i="23" l="1"/>
  <c r="H64" i="23"/>
  <c r="G51" i="23"/>
  <c r="H191" i="23" l="1"/>
  <c r="H160" i="23"/>
  <c r="H159" i="23" s="1"/>
  <c r="H40" i="23"/>
  <c r="G113" i="23" l="1"/>
  <c r="H15" i="23" l="1"/>
  <c r="G25" i="23"/>
  <c r="H131" i="23"/>
  <c r="H166" i="23"/>
  <c r="H164" i="23"/>
  <c r="H102" i="23"/>
  <c r="H110" i="23"/>
  <c r="H100" i="23"/>
  <c r="H136" i="23"/>
  <c r="H99" i="23" l="1"/>
  <c r="H98" i="23" s="1"/>
  <c r="H25" i="23" l="1"/>
  <c r="H18" i="23" l="1"/>
  <c r="H17" i="23" s="1"/>
  <c r="G48" i="23" l="1"/>
  <c r="H125" i="23"/>
  <c r="H124" i="23" s="1"/>
  <c r="H156" i="23"/>
  <c r="H155" i="23" s="1"/>
  <c r="H141" i="23"/>
  <c r="H138" i="23"/>
  <c r="H83" i="23"/>
  <c r="H82" i="23" s="1"/>
  <c r="H80" i="23"/>
  <c r="G111" i="23"/>
  <c r="H189" i="23"/>
  <c r="H188" i="23" s="1"/>
  <c r="G190" i="23"/>
  <c r="G176" i="23"/>
  <c r="H170" i="23"/>
  <c r="G170" i="23"/>
  <c r="H169" i="23"/>
  <c r="G169" i="23"/>
  <c r="G165" i="23"/>
  <c r="H163" i="23"/>
  <c r="G164" i="23"/>
  <c r="H153" i="23"/>
  <c r="H152" i="23" s="1"/>
  <c r="H147" i="23"/>
  <c r="H146" i="23" s="1"/>
  <c r="H133" i="23"/>
  <c r="H122" i="23"/>
  <c r="H121" i="23" s="1"/>
  <c r="H119" i="23"/>
  <c r="H118" i="23" s="1"/>
  <c r="H105" i="23"/>
  <c r="H93" i="23"/>
  <c r="H92" i="23" s="1"/>
  <c r="H91" i="23" s="1"/>
  <c r="G90" i="23"/>
  <c r="H89" i="23"/>
  <c r="H88" i="23" s="1"/>
  <c r="G84" i="23"/>
  <c r="G71" i="23"/>
  <c r="G50" i="23"/>
  <c r="G39" i="23"/>
  <c r="G31" i="23"/>
  <c r="G30" i="23"/>
  <c r="H26" i="23"/>
  <c r="H14" i="23"/>
  <c r="H13" i="23" s="1"/>
  <c r="H11" i="23"/>
  <c r="H10" i="23"/>
  <c r="H145" i="23" l="1"/>
  <c r="H168" i="23"/>
  <c r="H130" i="23"/>
  <c r="H129" i="23" s="1"/>
  <c r="H128" i="23" s="1"/>
  <c r="H21" i="23"/>
  <c r="H20" i="23" s="1"/>
  <c r="H112" i="23"/>
  <c r="H109" i="23" s="1"/>
  <c r="H9" i="23"/>
  <c r="H194" i="23"/>
  <c r="H193" i="23" s="1"/>
  <c r="H76" i="23"/>
  <c r="H75" i="23" s="1"/>
  <c r="H173" i="23"/>
  <c r="H29" i="23"/>
  <c r="H28" i="23" s="1"/>
  <c r="H16" i="23" l="1"/>
  <c r="H162" i="23"/>
  <c r="H158" i="23" s="1"/>
  <c r="H172" i="23"/>
  <c r="H104" i="23" l="1"/>
  <c r="H206" i="23" s="1"/>
</calcChain>
</file>

<file path=xl/sharedStrings.xml><?xml version="1.0" encoding="utf-8"?>
<sst xmlns="http://schemas.openxmlformats.org/spreadsheetml/2006/main" count="406" uniqueCount="189">
  <si>
    <t>Dział</t>
  </si>
  <si>
    <t>Rozdział</t>
  </si>
  <si>
    <t>§</t>
  </si>
  <si>
    <t>Rolnictwo i łowiectwo</t>
  </si>
  <si>
    <t>Infrastruktura sanitacyjna wsi</t>
  </si>
  <si>
    <t>Pozostała działalność</t>
  </si>
  <si>
    <t>Transport i łączność</t>
  </si>
  <si>
    <t>Drogi publiczne powiatowe</t>
  </si>
  <si>
    <t>Drogi publiczne gminne</t>
  </si>
  <si>
    <t>Gospodarka mieszkaniowa</t>
  </si>
  <si>
    <t>Gospodarka gruntami i nieruchomościami</t>
  </si>
  <si>
    <t>Gospodarowanie mieszkaniowym zasobem gminy</t>
  </si>
  <si>
    <t>Działalność usługowa</t>
  </si>
  <si>
    <t>Administracja publiczna</t>
  </si>
  <si>
    <t>Urzędy gmin (miast i miast na prawach powiatu)</t>
  </si>
  <si>
    <t>Bezpieczeństwo publiczne i ochrona przeciwpożarowa</t>
  </si>
  <si>
    <t>Straż gminna (miejska)</t>
  </si>
  <si>
    <t>Oświata i wychowanie</t>
  </si>
  <si>
    <t>Szkoły podstawowe</t>
  </si>
  <si>
    <t xml:space="preserve">Przedszkola </t>
  </si>
  <si>
    <t>Gospodarka komunalna i ochrona środowiska</t>
  </si>
  <si>
    <t>Gospodarka ściekowa i ochrona wód</t>
  </si>
  <si>
    <t>Utrzymanie zieleni w miastach i gminach</t>
  </si>
  <si>
    <t>Ochrona powietrza atmosferycznego i klimatu</t>
  </si>
  <si>
    <t>Kultura fizyczna</t>
  </si>
  <si>
    <t>Instytucje kultury fizycznej</t>
  </si>
  <si>
    <t>OGÓŁEM:</t>
  </si>
  <si>
    <t>Melioracje wodne</t>
  </si>
  <si>
    <t>Wydatki inwestycyjne jednostek budżetowych</t>
  </si>
  <si>
    <t>Dotacja celowa na pomoc finansową udzielaną między jednostkami samorządu terytorialnego na dofinansowanie własnych zadań inwestycyjnych i zakupów inwestycyjnych</t>
  </si>
  <si>
    <t>Wydatki na zakupy inwestycyjne jednostek budżetowych</t>
  </si>
  <si>
    <t>Plany zagospodarowania przestrzennego</t>
  </si>
  <si>
    <t>Obrona cywilna</t>
  </si>
  <si>
    <t>Dotacja celowa z budżetu na finansowanie lub dofinansowanie kosztów realizacji inwestycji i zakupów inwestycyjnych jednostek nie zaliczanych do sektora finansów publicznych</t>
  </si>
  <si>
    <t>Oświetlenie ulic, placów i dróg</t>
  </si>
  <si>
    <t>Kultura i ochrona dziedzictwa narodowego</t>
  </si>
  <si>
    <t>Domy i ośrodki kultury, świetlice i kluby</t>
  </si>
  <si>
    <t>Ochrona zabytków i opieka nad zabytkami</t>
  </si>
  <si>
    <t>Obiekty sportowe</t>
  </si>
  <si>
    <t>Treść</t>
  </si>
  <si>
    <t>Wydatki poniesione ze środków z Rządowego Funduszu Polski Ład: Program Inwestycji Strategicznych na realizację zadań inwestycyjnych</t>
  </si>
  <si>
    <t>Dotacja celowa przekazana z budżetu na finansowaanie lub dofinansowanie realizacji zadań inwestycyjnych obiektów zabytkowych jednostkom niezaliczanym do sektora finansów publicznych</t>
  </si>
  <si>
    <t>2006-2010</t>
  </si>
  <si>
    <t>Jednostka  organizacyjna  realizująca  program / zadanie</t>
  </si>
  <si>
    <t>Okres realizacji programu/zadania</t>
  </si>
  <si>
    <t>Łączne  nakłady  finansowe  w zł</t>
  </si>
  <si>
    <t>Budowa zbiornika retencyjnego na działce nr ewid. 2/2, obręb Rosnowo - Szreniawa</t>
  </si>
  <si>
    <t>Urząd Gminy Komorniki</t>
  </si>
  <si>
    <t>Rozbudowa drogi powiatowej nr 2390P Komorniki - Łęczyca w m. Wiry poprzez wykonanie drogi dla pieszych, jako odrębnego przejścia pod linią kolejową nr 357 Sulechów - Luboń</t>
  </si>
  <si>
    <t>Wspieranie strategii niskoemisyjnej na terenie Gminy Komorniki poprzez budowę węzła przesiadkowgo w Szreniawie oraz zakup autobusu</t>
  </si>
  <si>
    <t>Budowa ul.Polnej w Chomęcicach etap II</t>
  </si>
  <si>
    <t>2022-2025</t>
  </si>
  <si>
    <t>Budowa ul. Miodowej w Plewiskach</t>
  </si>
  <si>
    <t>Budowa ul. Truskawowej w Komornikach</t>
  </si>
  <si>
    <t>Budowa ul. Wiosennej i ul. Pogodnej w Komornikach</t>
  </si>
  <si>
    <t>Budowa ul. Wąskiej w Komornikach</t>
  </si>
  <si>
    <t>Budowa ul. Stawnej w Głuchowie</t>
  </si>
  <si>
    <t>Budowa ul. Szkolnej w Chomęcicach</t>
  </si>
  <si>
    <t>Przebudowa odcinka ul. Głuchowskiej w Chomęcicach</t>
  </si>
  <si>
    <t>Przebudowa ul. Kolejowej w Plewiskach, od wiaduktu kolejowego do skrzyżowania z ulicą Grunwaldzką</t>
  </si>
  <si>
    <t>2023-2025</t>
  </si>
  <si>
    <t>Budowa ul. Stanisława Moniuszki i ul. Fryderyka Chopina w Szreniawie</t>
  </si>
  <si>
    <t>Budowa ul. Podleśnej w Wirach</t>
  </si>
  <si>
    <t>Wykup gruntów i nieruchomości</t>
  </si>
  <si>
    <t>Budowa budynku komunalnego w Plewiskach</t>
  </si>
  <si>
    <t>Plany zagospodarowania przestrzennego - Pozyskiwanie terenów na cele inwestycyjne</t>
  </si>
  <si>
    <t>Zakupy inwestycyjne OC</t>
  </si>
  <si>
    <t>Budowa systemu monitoringu Gminy Komorniki</t>
  </si>
  <si>
    <t>2015-2026</t>
  </si>
  <si>
    <t>Dofinansowanie kosztów inwestycji proekologicznych (wymiana źródeł ciepła)</t>
  </si>
  <si>
    <t>Dofinansowanie kosztów inwestycji proekologicznych (deszczówka)</t>
  </si>
  <si>
    <t>Budowa Pływalni w Plewiskach</t>
  </si>
  <si>
    <t>2019-2026</t>
  </si>
  <si>
    <t>Budowa drogi ul. Gerwazego, Ks.Robaka, Jankiela, Horedszki w Komornikach</t>
  </si>
  <si>
    <t>Budowa ul. Lubońskiej w Komornikach</t>
  </si>
  <si>
    <t>2024-2025</t>
  </si>
  <si>
    <t>Budowa ul. Wrzosowej w Plewiskach</t>
  </si>
  <si>
    <t>Budowa chodnika na ul. Bukowej w Walerianowie - ostatni odcinek</t>
  </si>
  <si>
    <t>Budowa ul. Żabikowskiej w Wirach - etap I</t>
  </si>
  <si>
    <t>Rozbudowa ul. Kościelnej (odcinek Pocztowa - Poznańska) w m. Komorniki w zakresie budowy chodnika</t>
  </si>
  <si>
    <t>2014-2026</t>
  </si>
  <si>
    <t>Remont dachu budynku Szkoły Podstawowej nr 2 w Komornikach</t>
  </si>
  <si>
    <t>Budowa i zadaszenie boisk w Szreniawie</t>
  </si>
  <si>
    <t>Budowa indywidualnego systemu ogrzewania w mieszkaniach komunalnych w budynku  w Wirach przy ul. Szreniawskiej 6</t>
  </si>
  <si>
    <t>Cyberbezpieczny samorząd” (zabezpieczenie systemu informatycznego całego Urzędu przed wszelkimi atakami z cyberprzestrzeni)</t>
  </si>
  <si>
    <t>Remont budynku zabytkowej Szkoły w Chomęcicach</t>
  </si>
  <si>
    <t>Remont elewacji Kościoła Parafialnego pw. Św. Andrzeja Apostoła w Komornikach</t>
  </si>
  <si>
    <t>Remont dachu i elewacji zabytkowej plebanii w parafii pw. Św. Andrzeja Apostoła w Komornikach</t>
  </si>
  <si>
    <t>Odbudowa trzech mostków na Nadwarciańskiem Szlaku Rowerowym na terenie Wielkopolskiego Parku Narodowego</t>
  </si>
  <si>
    <t>Cyberbezpieczny samorząd (zabezpieczenie systemu informatycznego całego Urzędu przed wszelkimi atakami z cyberprzestrzeni)</t>
  </si>
  <si>
    <t>Wydatki majątkowe - zadania inwestycyjne w 2025 roku</t>
  </si>
  <si>
    <t>2023-2026</t>
  </si>
  <si>
    <t>Budowa kanalizacji sanitarnej w ul. Piastowskiej w Komornikach</t>
  </si>
  <si>
    <t>Budowa ul. Słonecznej w Chomęcicach</t>
  </si>
  <si>
    <t>Budowa ul. Pogodnej w Głuchowie</t>
  </si>
  <si>
    <t>Budowa odcinków chodników przy ul. Stawnej i ul. Poznańskiej                 w Głuchowie</t>
  </si>
  <si>
    <t>Budowa drogi łączącej ul. Towarową w Komornikach z ul. Szkolną w Plewiskach</t>
  </si>
  <si>
    <t>Budowa ul. Akacjowej i ul. Brzozowej w Komornikach</t>
  </si>
  <si>
    <t>Budowa odcinków ul. Kminkowej i Szałwiowej w Plewiskach</t>
  </si>
  <si>
    <t>Budowa ul. Tęczowej i Promykowej w Plewiskach</t>
  </si>
  <si>
    <t>Budowa ul. Grabowej i ul. Jaworowej w Wirach</t>
  </si>
  <si>
    <t>Budowa ścieżki rowerowej Plewiska - Skórzewo, odcinek od wiaduktu kolejowego do granicy z m. Skórzewo</t>
  </si>
  <si>
    <t>Budowa sieci dróg rowerowych na terenie Gminy Komorniki</t>
  </si>
  <si>
    <t>Wsparcie rozwoju e-usług publicznych w samorządzie lokalnym Metropolii Poznań - Gminie Komorniki</t>
  </si>
  <si>
    <t>Budowa nowej siedziby OSP, Policji i Pogotowia Ratunkowego w Plewiskach</t>
  </si>
  <si>
    <t>2024-2027</t>
  </si>
  <si>
    <t>Budowa łącznika przy Szkole Podstawowej nr 2 w Plewiskach</t>
  </si>
  <si>
    <t>Wydatki inwestycyjne dotyczące obiektów zabytkowych będących w użytkowaniu jednostek budżetowych</t>
  </si>
  <si>
    <t>Opracowanie projektu technicznego modernizacji budynku Przedszkola w Wirach</t>
  </si>
  <si>
    <t xml:space="preserve">Budowa nowych odcinków sieci energetycznej w gminie </t>
  </si>
  <si>
    <t>Modernizacja budynków pofolwarcznych w Wirach</t>
  </si>
  <si>
    <t>2024-2026</t>
  </si>
  <si>
    <t>Budowa ścieżki rekreacyjnej przy boisku w Rosnówku</t>
  </si>
  <si>
    <t xml:space="preserve">Przebudowa hali sportowej przy ulicy Jeziornej w Komornikach </t>
  </si>
  <si>
    <t>Budowa placu zabaw przy ul. Malinowej w Komornikach</t>
  </si>
  <si>
    <t>Przebudowa placu zabaw przy DK Dworek w Głuchowie</t>
  </si>
  <si>
    <t>Budowa instalacji fotowoltaicznej oraz popmy ciepła w Gminnym Ośrodku Sportu i Rekreacji w Komornikach</t>
  </si>
  <si>
    <t>Rekreacyjny Park Rodzinny "Nad Wirynką" etap II</t>
  </si>
  <si>
    <t>Budowa górki saneczkowej</t>
  </si>
  <si>
    <t>Tor dla rowerzystów i rolkarzy - pumptruck w Łęczycy</t>
  </si>
  <si>
    <t>Rewitalizacja terenu z wyspą w Chomęcicach - etap I</t>
  </si>
  <si>
    <t>Przebudowa nieruchomości zabudowanej przy ul. Jeziornej 1A                               w Komornikach</t>
  </si>
  <si>
    <t>Przebudowa instalacji ul. Zielarska 4 Plewiska</t>
  </si>
  <si>
    <t>Budowa kontenerów mieszkalnych w Plewiskach</t>
  </si>
  <si>
    <t>Wymiana lamp w budynku Urzędu Gminy Komorniki</t>
  </si>
  <si>
    <t>Modernizacja zabytkowego budynku Szkoły Podstawowej nr 1                                   w Plewiskach</t>
  </si>
  <si>
    <t>Budowa boiska sportowego przy Szkole Podstawowej w Chomęcicach</t>
  </si>
  <si>
    <t>Budowa terenu rekreacyjnego przy ul. Mieszka i Dobrawy w Komornikach</t>
  </si>
  <si>
    <t>Budowa integracyjnego placu zabaw przy ul. Mieszka i Dobrawy               w Komornikach</t>
  </si>
  <si>
    <t>Budowa wybiegu dla psów przy ul. Mieszka i Dobrawy w Komornikach</t>
  </si>
  <si>
    <t>Modernizacja kompleksu sportowego Moje Boisko Orlik 2012 w Wirach - wymiana sztucznej trawy</t>
  </si>
  <si>
    <t>Budowa ul. Pasieki (II etap) i ul. Miodowej w Komornikach</t>
  </si>
  <si>
    <t>Budowa ul. Zgodnej w Łęczycy</t>
  </si>
  <si>
    <t>Budowa ul. Azaliowej, ul. Sasankowej i ul.Krokusowej w Plewiskach</t>
  </si>
  <si>
    <t>Budowa ul. Ignacego Paderewskiego i ul. Jana Sebastiana Bacha w Szreniawie</t>
  </si>
  <si>
    <t>2025-2028</t>
  </si>
  <si>
    <t>2025-2026</t>
  </si>
  <si>
    <t>2025-2027</t>
  </si>
  <si>
    <t>Budowa ścieżki rowerowej Komorniki - Plewiska</t>
  </si>
  <si>
    <t>Budowa ścieżki rowerowej Plewwiska - Gołuski</t>
  </si>
  <si>
    <t>Drogi wojewódzkie</t>
  </si>
  <si>
    <t>Budowa odcinka chodnika przy ul. Komornickiej w Wirach,                         w rejonie ulic: Polnej i Wirowskiej z przejściem dla pieszych</t>
  </si>
  <si>
    <t>KOWR dokumentacja projektowa (Zielone Wzgórze Komorniki)</t>
  </si>
  <si>
    <t>Wysokość  wydatków                         w zł  w 2025r.</t>
  </si>
  <si>
    <t>Informatyka</t>
  </si>
  <si>
    <t>Budowa Szkoły Podstawowej w Wirach</t>
  </si>
  <si>
    <t>Przebudowa i adaptacja budynku "Organistówka" w Komornikach przy ul. Kościelnej</t>
  </si>
  <si>
    <t>Komendy Wojewódzie Policji</t>
  </si>
  <si>
    <t>Budowa ul. Szreniawskiej w Wirach-etap I</t>
  </si>
  <si>
    <t>Budowa ul. Orzechowej, ul. Świerkowej i ul. Kolejowej w Wirach</t>
  </si>
  <si>
    <t>2020-2026</t>
  </si>
  <si>
    <t>Rozbudowa drogi wojewódzkej nr 311 w zakresie budowy ronda turbinowego dla istniejącego skrzyzowania ulicy Nizinnej, Nowej                         i Poznańskiej w Komornikach</t>
  </si>
  <si>
    <t>Koncepcja rozbudowy Szkoły Podstawowej nr 1 w Plewiskach</t>
  </si>
  <si>
    <t>Koncepcja rozbudowy filii Gminnego Ośrodka Kultury w Rosnówku</t>
  </si>
  <si>
    <t>Zakupinwestycyjne dla GOSiR</t>
  </si>
  <si>
    <t>Remont zabytkowych organów w parafii pw. Św. Andrzeja Apostoła w Komornikach</t>
  </si>
  <si>
    <t>Zakup paralizatorów dla Straży Gminnej</t>
  </si>
  <si>
    <t>2016-2025</t>
  </si>
  <si>
    <t>Budowa ul. Zimowej w Plewiskach</t>
  </si>
  <si>
    <t>2017-2026</t>
  </si>
  <si>
    <t>2014-2025</t>
  </si>
  <si>
    <t>2023-2027</t>
  </si>
  <si>
    <t>Cmentarze</t>
  </si>
  <si>
    <t>Wpłaty jednostek na państwowy fundusz celowy na finansowanie lub dofinansowanie zadań inwestycyjnych</t>
  </si>
  <si>
    <t>Usuwanie klęsk żywiołowych</t>
  </si>
  <si>
    <t>Pumptrack w Chomęcicach w okolicy Szkoły Podstawowej im.A.Fiedlera</t>
  </si>
  <si>
    <t>Strefa Relaksu przy Wirence - Zagospodarowanie Terenu - Strefa Chilloutu</t>
  </si>
  <si>
    <t>Park linowy przy boisku na terenie Szkoły Podstawowej nr 1                     w Plewiskach</t>
  </si>
  <si>
    <t>Rowerowy Plac Zabaw PUMPTRACK w Wirach przy Orliku</t>
  </si>
  <si>
    <t>Tężnie w Rosnówku</t>
  </si>
  <si>
    <t>Budowa terenu rekreacyjnego przy ulicy Zespołowej i Szyftera                     w Wirach</t>
  </si>
  <si>
    <t>2025-2029</t>
  </si>
  <si>
    <t>Budowa lodowiska w Plewiskach</t>
  </si>
  <si>
    <t>Wykonanie instalacji klimatyzacji w przedszkolu Zielony Zakątek              w Plewiskach</t>
  </si>
  <si>
    <t>Modernizacja instalacji elektrycznej dla potrzeb podłączenia agregatu prądotwórczego w budynku Urzędu Gminy</t>
  </si>
  <si>
    <t>Budowa nowego budynku mieszkalnego po budynku na ul. Szkolnej 155 w Plewiskach</t>
  </si>
  <si>
    <t xml:space="preserve">Modernizacja instalacji elektrycznej dla potrzeb podłączenia agregatu prądotwórczego w budynku Ośrodka Pomocy Społecznej </t>
  </si>
  <si>
    <t>Budowa ul. Wiosennej w Plewiskach</t>
  </si>
  <si>
    <t>Rozbudowa drogi powiatowej nr 2459P poprzez eykonanie drogi dla pieszych i rowerów, jako odrębnego przejścia pod linią kolejową nr 357 Sulechów-Luboń (dokumentacja projektowa)</t>
  </si>
  <si>
    <t>Budowa ul. Cichej i Wschodniej w Plewiskach</t>
  </si>
  <si>
    <t>Budowa drogi ozn.jako 1KD-D w Plewiskach</t>
  </si>
  <si>
    <t>Budowa drogi ozn.jako 05.KL, 1KDD i 3KDD w Chomęcicach</t>
  </si>
  <si>
    <t>Remont przepustu na ul. Zespołowej w Wirach</t>
  </si>
  <si>
    <t>Budowa ul. Lukrecjowej etap I i ul. Lubczykowej etap II w Plewiskach</t>
  </si>
  <si>
    <t>Odbudowa infrastruktury drogowo - mostowej w Gminie Stronie Ślaskie</t>
  </si>
  <si>
    <t>Dotacja celowych na zadania związane z rozwojem rodzinnych ogrodów działkowych, przeznaczonych na budowę lub modernizację infrastruktury ogrodowej</t>
  </si>
  <si>
    <t>Budowa terenu sportowo-rekreacyjnego w Walerianowie</t>
  </si>
  <si>
    <t>Budowa cmentarza komunalnego w Komornikach i Szreniawie</t>
  </si>
  <si>
    <t>Modernizacja budynku zaplecza kompleksu sportowego Moje Boisko Orlik 2012 w Plewiskach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</si>
</sst>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_-* #,##0.00&quot; zł&quot;_-;\-* #,##0.00&quot; zł&quot;_-;_-* \-??&quot; zł&quot;_-;_-@_-"/>
    <numFmt numFmtId="167" formatCode="[$-415]General"/>
    <numFmt numFmtId="168" formatCode="[$-415]0%"/>
    <numFmt numFmtId="169" formatCode="#,##0.00&quot; &quot;[$zł-415];[Red]&quot;-&quot;#,##0.00&quot; &quot;[$zł-415]"/>
    <numFmt numFmtId="170" formatCode="000"/>
    <numFmt numFmtId="171" formatCode="00000"/>
    <numFmt numFmtId="172" formatCode="0000"/>
  </numFmts>
  <fonts count="6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name val="Arial CE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32">
    <xf numFmtId="0" fontId="0" fillId="0" borderId="0"/>
    <xf numFmtId="0" fontId="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3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35" fillId="7" borderId="0" applyNumberFormat="0" applyBorder="0" applyAlignment="0" applyProtection="0"/>
    <xf numFmtId="0" fontId="36" fillId="2" borderId="1" applyNumberFormat="0" applyAlignment="0" applyProtection="0"/>
    <xf numFmtId="0" fontId="37" fillId="23" borderId="2" applyNumberFormat="0" applyAlignment="0" applyProtection="0"/>
    <xf numFmtId="0" fontId="5" fillId="8" borderId="1" applyNumberFormat="0" applyAlignment="0" applyProtection="0"/>
    <xf numFmtId="0" fontId="5" fillId="6" borderId="1" applyNumberFormat="0" applyAlignment="0" applyProtection="0"/>
    <xf numFmtId="0" fontId="6" fillId="24" borderId="3" applyNumberFormat="0" applyAlignment="0" applyProtection="0"/>
    <xf numFmtId="0" fontId="6" fillId="25" borderId="3" applyNumberFormat="0" applyAlignment="0" applyProtection="0"/>
    <xf numFmtId="0" fontId="7" fillId="26" borderId="0" applyNumberFormat="0" applyBorder="0" applyAlignment="0" applyProtection="0"/>
    <xf numFmtId="165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0" borderId="0">
      <alignment horizontal="center"/>
    </xf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21" fillId="0" borderId="0">
      <alignment horizontal="center" textRotation="90"/>
    </xf>
    <xf numFmtId="0" fontId="49" fillId="0" borderId="0" applyNumberFormat="0" applyFill="0" applyBorder="0" applyAlignment="0" applyProtection="0"/>
    <xf numFmtId="0" fontId="43" fillId="6" borderId="1" applyNumberFormat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9" fillId="27" borderId="2" applyNumberFormat="0" applyAlignment="0" applyProtection="0"/>
    <xf numFmtId="0" fontId="9" fillId="23" borderId="2" applyNumberFormat="0" applyAlignment="0" applyProtection="0"/>
    <xf numFmtId="0" fontId="44" fillId="0" borderId="7" applyNumberFormat="0" applyFill="0" applyAlignment="0" applyProtection="0"/>
    <xf numFmtId="0" fontId="10" fillId="0" borderId="8" applyNumberFormat="0" applyFill="0" applyAlignment="0" applyProtection="0"/>
    <xf numFmtId="0" fontId="29" fillId="0" borderId="4" applyNumberFormat="0" applyFill="0" applyAlignment="0" applyProtection="0"/>
    <xf numFmtId="0" fontId="11" fillId="0" borderId="5" applyNumberFormat="0" applyFill="0" applyAlignment="0" applyProtection="0"/>
    <xf numFmtId="0" fontId="30" fillId="0" borderId="5" applyNumberFormat="0" applyFill="0" applyAlignment="0" applyProtection="0"/>
    <xf numFmtId="0" fontId="12" fillId="0" borderId="9" applyNumberFormat="0" applyFill="0" applyAlignment="0" applyProtection="0"/>
    <xf numFmtId="0" fontId="3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13" fillId="10" borderId="0" applyNumberFormat="0" applyBorder="0" applyAlignment="0" applyProtection="0"/>
    <xf numFmtId="167" fontId="22" fillId="0" borderId="0">
      <alignment vertical="top"/>
    </xf>
    <xf numFmtId="0" fontId="28" fillId="0" borderId="0"/>
    <xf numFmtId="0" fontId="23" fillId="0" borderId="0"/>
    <xf numFmtId="0" fontId="3" fillId="0" borderId="0"/>
    <xf numFmtId="0" fontId="24" fillId="0" borderId="0"/>
    <xf numFmtId="0" fontId="20" fillId="0" borderId="0"/>
    <xf numFmtId="0" fontId="22" fillId="0" borderId="0"/>
    <xf numFmtId="167" fontId="24" fillId="0" borderId="0"/>
    <xf numFmtId="0" fontId="22" fillId="0" borderId="0" applyNumberFormat="0" applyFill="0" applyBorder="0" applyAlignment="0" applyProtection="0">
      <alignment vertical="top"/>
    </xf>
    <xf numFmtId="0" fontId="1" fillId="0" borderId="0"/>
    <xf numFmtId="0" fontId="28" fillId="4" borderId="10" applyNumberFormat="0" applyFont="0" applyAlignment="0" applyProtection="0"/>
    <xf numFmtId="0" fontId="14" fillId="24" borderId="1" applyNumberFormat="0" applyAlignment="0" applyProtection="0"/>
    <xf numFmtId="0" fontId="14" fillId="25" borderId="1" applyNumberFormat="0" applyAlignment="0" applyProtection="0"/>
    <xf numFmtId="0" fontId="46" fillId="2" borderId="3" applyNumberFormat="0" applyAlignment="0" applyProtection="0"/>
    <xf numFmtId="9" fontId="2" fillId="0" borderId="0" applyFill="0" applyBorder="0" applyAlignment="0" applyProtection="0"/>
    <xf numFmtId="168" fontId="23" fillId="0" borderId="0"/>
    <xf numFmtId="9" fontId="20" fillId="0" borderId="0" applyFont="0" applyFill="0" applyBorder="0" applyAlignment="0" applyProtection="0"/>
    <xf numFmtId="168" fontId="26" fillId="0" borderId="0"/>
    <xf numFmtId="9" fontId="2" fillId="0" borderId="0" applyFill="0" applyBorder="0" applyAlignment="0" applyProtection="0"/>
    <xf numFmtId="9" fontId="25" fillId="0" borderId="0"/>
    <xf numFmtId="9" fontId="1" fillId="0" borderId="0" applyFont="0" applyFill="0" applyBorder="0" applyAlignment="0" applyProtection="0"/>
    <xf numFmtId="0" fontId="27" fillId="0" borderId="0"/>
    <xf numFmtId="169" fontId="27" fillId="0" borderId="0"/>
    <xf numFmtId="0" fontId="15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28" borderId="10" applyNumberFormat="0" applyAlignment="0" applyProtection="0"/>
    <xf numFmtId="0" fontId="28" fillId="4" borderId="10" applyNumberFormat="0" applyFont="0" applyAlignment="0" applyProtection="0"/>
    <xf numFmtId="166" fontId="20" fillId="0" borderId="0" applyFill="0" applyBorder="0" applyAlignment="0" applyProtection="0"/>
    <xf numFmtId="164" fontId="2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9" fillId="29" borderId="0" applyNumberFormat="0" applyBorder="0" applyAlignment="0" applyProtection="0"/>
    <xf numFmtId="165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50" fillId="0" borderId="0"/>
  </cellStyleXfs>
  <cellXfs count="145">
    <xf numFmtId="0" fontId="0" fillId="0" borderId="0" xfId="0"/>
    <xf numFmtId="0" fontId="52" fillId="0" borderId="14" xfId="1" applyFont="1" applyBorder="1" applyAlignment="1">
      <alignment horizontal="center" vertical="center" wrapText="1"/>
    </xf>
    <xf numFmtId="170" fontId="53" fillId="0" borderId="16" xfId="0" applyNumberFormat="1" applyFont="1" applyBorder="1" applyAlignment="1">
      <alignment horizontal="center" vertical="center"/>
    </xf>
    <xf numFmtId="171" fontId="53" fillId="0" borderId="13" xfId="0" applyNumberFormat="1" applyFont="1" applyBorder="1" applyAlignment="1">
      <alignment horizontal="center" vertical="center"/>
    </xf>
    <xf numFmtId="172" fontId="53" fillId="0" borderId="13" xfId="0" applyNumberFormat="1" applyFont="1" applyBorder="1" applyAlignment="1">
      <alignment horizontal="center" vertical="center"/>
    </xf>
    <xf numFmtId="0" fontId="53" fillId="0" borderId="13" xfId="0" applyFont="1" applyBorder="1" applyAlignment="1">
      <alignment horizontal="left" vertical="center" wrapText="1"/>
    </xf>
    <xf numFmtId="4" fontId="53" fillId="0" borderId="13" xfId="0" applyNumberFormat="1" applyFont="1" applyBorder="1" applyAlignment="1">
      <alignment horizontal="right" vertical="center"/>
    </xf>
    <xf numFmtId="0" fontId="54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171" fontId="54" fillId="0" borderId="13" xfId="0" applyNumberFormat="1" applyFont="1" applyBorder="1" applyAlignment="1">
      <alignment horizontal="center" vertical="center"/>
    </xf>
    <xf numFmtId="172" fontId="54" fillId="0" borderId="13" xfId="0" applyNumberFormat="1" applyFont="1" applyBorder="1" applyAlignment="1">
      <alignment horizontal="center" vertical="center"/>
    </xf>
    <xf numFmtId="0" fontId="54" fillId="0" borderId="13" xfId="0" applyFont="1" applyBorder="1" applyAlignment="1">
      <alignment horizontal="left" vertical="center" wrapText="1"/>
    </xf>
    <xf numFmtId="0" fontId="54" fillId="0" borderId="20" xfId="0" applyFont="1" applyBorder="1" applyAlignment="1">
      <alignment horizontal="left" vertical="center" wrapText="1"/>
    </xf>
    <xf numFmtId="0" fontId="54" fillId="0" borderId="27" xfId="0" applyFont="1" applyBorder="1" applyAlignment="1">
      <alignment horizontal="left" vertical="center" wrapText="1"/>
    </xf>
    <xf numFmtId="172" fontId="54" fillId="0" borderId="21" xfId="0" applyNumberFormat="1" applyFont="1" applyBorder="1" applyAlignment="1">
      <alignment horizontal="center" vertical="center"/>
    </xf>
    <xf numFmtId="0" fontId="54" fillId="0" borderId="22" xfId="0" applyFont="1" applyBorder="1" applyAlignment="1">
      <alignment horizontal="left" vertical="center" wrapText="1"/>
    </xf>
    <xf numFmtId="171" fontId="53" fillId="0" borderId="18" xfId="0" applyNumberFormat="1" applyFont="1" applyBorder="1" applyAlignment="1">
      <alignment horizontal="center" vertical="center"/>
    </xf>
    <xf numFmtId="172" fontId="53" fillId="0" borderId="18" xfId="0" applyNumberFormat="1" applyFont="1" applyBorder="1" applyAlignment="1">
      <alignment horizontal="center" vertical="center"/>
    </xf>
    <xf numFmtId="0" fontId="54" fillId="30" borderId="13" xfId="0" applyFont="1" applyFill="1" applyBorder="1" applyAlignment="1">
      <alignment horizontal="left" vertical="center" wrapText="1"/>
    </xf>
    <xf numFmtId="0" fontId="54" fillId="0" borderId="2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3" fontId="54" fillId="0" borderId="26" xfId="0" applyNumberFormat="1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/>
    </xf>
    <xf numFmtId="3" fontId="54" fillId="0" borderId="22" xfId="0" applyNumberFormat="1" applyFont="1" applyBorder="1" applyAlignment="1">
      <alignment horizontal="center" vertical="center"/>
    </xf>
    <xf numFmtId="0" fontId="54" fillId="30" borderId="26" xfId="0" applyFont="1" applyFill="1" applyBorder="1" applyAlignment="1">
      <alignment horizontal="center" vertical="center"/>
    </xf>
    <xf numFmtId="0" fontId="54" fillId="30" borderId="13" xfId="0" applyFont="1" applyFill="1" applyBorder="1" applyAlignment="1">
      <alignment horizontal="center" vertical="center"/>
    </xf>
    <xf numFmtId="3" fontId="54" fillId="30" borderId="22" xfId="0" applyNumberFormat="1" applyFont="1" applyFill="1" applyBorder="1" applyAlignment="1">
      <alignment horizontal="center" vertical="center"/>
    </xf>
    <xf numFmtId="0" fontId="54" fillId="30" borderId="24" xfId="0" applyFont="1" applyFill="1" applyBorder="1" applyAlignment="1">
      <alignment horizontal="center" vertical="center"/>
    </xf>
    <xf numFmtId="170" fontId="54" fillId="0" borderId="16" xfId="0" applyNumberFormat="1" applyFont="1" applyBorder="1" applyAlignment="1">
      <alignment horizontal="center" vertical="center"/>
    </xf>
    <xf numFmtId="0" fontId="52" fillId="0" borderId="15" xfId="1" applyFont="1" applyBorder="1" applyAlignment="1">
      <alignment horizontal="center" vertical="center" textRotation="90" wrapText="1"/>
    </xf>
    <xf numFmtId="0" fontId="52" fillId="0" borderId="14" xfId="1" applyFont="1" applyBorder="1" applyAlignment="1">
      <alignment horizontal="center" vertical="center" textRotation="90" wrapText="1"/>
    </xf>
    <xf numFmtId="0" fontId="52" fillId="0" borderId="14" xfId="0" applyFont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 wrapText="1"/>
    </xf>
    <xf numFmtId="170" fontId="54" fillId="0" borderId="29" xfId="0" applyNumberFormat="1" applyFont="1" applyBorder="1" applyAlignment="1">
      <alignment horizontal="center" vertical="center"/>
    </xf>
    <xf numFmtId="4" fontId="54" fillId="0" borderId="17" xfId="0" applyNumberFormat="1" applyFont="1" applyBorder="1" applyAlignment="1">
      <alignment vertical="center" wrapText="1"/>
    </xf>
    <xf numFmtId="4" fontId="54" fillId="0" borderId="31" xfId="0" applyNumberFormat="1" applyFont="1" applyBorder="1" applyAlignment="1">
      <alignment vertical="center" wrapText="1"/>
    </xf>
    <xf numFmtId="0" fontId="54" fillId="0" borderId="18" xfId="0" applyFont="1" applyBorder="1" applyAlignment="1">
      <alignment horizontal="center" vertical="center"/>
    </xf>
    <xf numFmtId="4" fontId="54" fillId="0" borderId="34" xfId="0" applyNumberFormat="1" applyFont="1" applyBorder="1" applyAlignment="1">
      <alignment vertical="center"/>
    </xf>
    <xf numFmtId="4" fontId="54" fillId="30" borderId="34" xfId="0" applyNumberFormat="1" applyFont="1" applyFill="1" applyBorder="1" applyAlignment="1">
      <alignment vertical="center"/>
    </xf>
    <xf numFmtId="0" fontId="54" fillId="30" borderId="18" xfId="0" applyFont="1" applyFill="1" applyBorder="1" applyAlignment="1">
      <alignment horizontal="center" vertical="center"/>
    </xf>
    <xf numFmtId="4" fontId="54" fillId="30" borderId="32" xfId="0" applyNumberFormat="1" applyFont="1" applyFill="1" applyBorder="1" applyAlignment="1">
      <alignment vertical="center"/>
    </xf>
    <xf numFmtId="4" fontId="54" fillId="30" borderId="33" xfId="0" applyNumberFormat="1" applyFont="1" applyFill="1" applyBorder="1" applyAlignment="1">
      <alignment vertical="center"/>
    </xf>
    <xf numFmtId="172" fontId="53" fillId="0" borderId="25" xfId="0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left" vertical="center" wrapText="1"/>
    </xf>
    <xf numFmtId="4" fontId="54" fillId="0" borderId="32" xfId="0" applyNumberFormat="1" applyFont="1" applyBorder="1" applyAlignment="1">
      <alignment horizontal="right" vertical="center" wrapText="1"/>
    </xf>
    <xf numFmtId="0" fontId="54" fillId="30" borderId="22" xfId="0" applyFont="1" applyFill="1" applyBorder="1" applyAlignment="1">
      <alignment horizontal="center" vertical="center" wrapText="1"/>
    </xf>
    <xf numFmtId="3" fontId="54" fillId="30" borderId="27" xfId="0" applyNumberFormat="1" applyFont="1" applyFill="1" applyBorder="1" applyAlignment="1">
      <alignment horizontal="center" vertical="center" wrapText="1"/>
    </xf>
    <xf numFmtId="4" fontId="54" fillId="0" borderId="34" xfId="0" applyNumberFormat="1" applyFont="1" applyBorder="1" applyAlignment="1">
      <alignment horizontal="right" vertical="center" wrapText="1"/>
    </xf>
    <xf numFmtId="0" fontId="54" fillId="0" borderId="24" xfId="0" applyFont="1" applyBorder="1" applyAlignment="1">
      <alignment horizontal="center" vertical="center" wrapText="1"/>
    </xf>
    <xf numFmtId="3" fontId="54" fillId="0" borderId="24" xfId="0" applyNumberFormat="1" applyFont="1" applyBorder="1" applyAlignment="1">
      <alignment horizontal="center" vertical="center" wrapText="1"/>
    </xf>
    <xf numFmtId="4" fontId="54" fillId="0" borderId="33" xfId="0" applyNumberFormat="1" applyFont="1" applyBorder="1" applyAlignment="1">
      <alignment horizontal="right" vertical="center" wrapText="1"/>
    </xf>
    <xf numFmtId="4" fontId="54" fillId="30" borderId="33" xfId="0" applyNumberFormat="1" applyFont="1" applyFill="1" applyBorder="1" applyAlignment="1">
      <alignment horizontal="right" vertical="center" wrapText="1"/>
    </xf>
    <xf numFmtId="0" fontId="54" fillId="30" borderId="24" xfId="0" applyFont="1" applyFill="1" applyBorder="1" applyAlignment="1">
      <alignment horizontal="center" vertical="center" wrapText="1"/>
    </xf>
    <xf numFmtId="0" fontId="54" fillId="30" borderId="26" xfId="0" applyFont="1" applyFill="1" applyBorder="1" applyAlignment="1">
      <alignment horizontal="center" vertical="center" wrapText="1"/>
    </xf>
    <xf numFmtId="4" fontId="54" fillId="0" borderId="17" xfId="0" applyNumberFormat="1" applyFont="1" applyBorder="1" applyAlignment="1">
      <alignment horizontal="right" vertical="center" wrapText="1"/>
    </xf>
    <xf numFmtId="0" fontId="54" fillId="0" borderId="24" xfId="0" applyFont="1" applyBorder="1" applyAlignment="1">
      <alignment horizontal="center" vertical="center"/>
    </xf>
    <xf numFmtId="3" fontId="54" fillId="0" borderId="24" xfId="0" applyNumberFormat="1" applyFont="1" applyBorder="1" applyAlignment="1">
      <alignment horizontal="center" vertical="center"/>
    </xf>
    <xf numFmtId="4" fontId="54" fillId="0" borderId="33" xfId="0" applyNumberFormat="1" applyFont="1" applyBorder="1" applyAlignment="1">
      <alignment vertical="center"/>
    </xf>
    <xf numFmtId="172" fontId="53" fillId="0" borderId="21" xfId="0" applyNumberFormat="1" applyFont="1" applyBorder="1" applyAlignment="1">
      <alignment horizontal="center" vertical="center"/>
    </xf>
    <xf numFmtId="4" fontId="54" fillId="0" borderId="33" xfId="0" applyNumberFormat="1" applyFont="1" applyBorder="1" applyAlignment="1">
      <alignment horizontal="right" vertical="center"/>
    </xf>
    <xf numFmtId="0" fontId="54" fillId="0" borderId="26" xfId="0" applyFont="1" applyBorder="1" applyAlignment="1">
      <alignment horizontal="center" vertical="center"/>
    </xf>
    <xf numFmtId="3" fontId="54" fillId="30" borderId="26" xfId="0" applyNumberFormat="1" applyFont="1" applyFill="1" applyBorder="1" applyAlignment="1">
      <alignment horizontal="center" vertical="center"/>
    </xf>
    <xf numFmtId="0" fontId="54" fillId="0" borderId="26" xfId="0" applyFont="1" applyBorder="1" applyAlignment="1">
      <alignment horizontal="left" vertical="center" wrapText="1"/>
    </xf>
    <xf numFmtId="3" fontId="54" fillId="0" borderId="26" xfId="0" applyNumberFormat="1" applyFont="1" applyBorder="1" applyAlignment="1">
      <alignment horizontal="center" vertical="center"/>
    </xf>
    <xf numFmtId="4" fontId="54" fillId="0" borderId="32" xfId="0" applyNumberFormat="1" applyFont="1" applyBorder="1" applyAlignment="1">
      <alignment horizontal="right" vertical="center"/>
    </xf>
    <xf numFmtId="4" fontId="54" fillId="0" borderId="13" xfId="0" applyNumberFormat="1" applyFont="1" applyBorder="1" applyAlignment="1">
      <alignment horizontal="right" vertical="center"/>
    </xf>
    <xf numFmtId="3" fontId="54" fillId="0" borderId="18" xfId="0" applyNumberFormat="1" applyFont="1" applyBorder="1" applyAlignment="1">
      <alignment horizontal="center" vertical="center" wrapText="1"/>
    </xf>
    <xf numFmtId="3" fontId="54" fillId="0" borderId="18" xfId="0" applyNumberFormat="1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 wrapText="1"/>
    </xf>
    <xf numFmtId="3" fontId="54" fillId="0" borderId="27" xfId="0" applyNumberFormat="1" applyFont="1" applyBorder="1" applyAlignment="1">
      <alignment horizontal="center" vertical="center" wrapText="1"/>
    </xf>
    <xf numFmtId="4" fontId="54" fillId="0" borderId="19" xfId="0" applyNumberFormat="1" applyFont="1" applyBorder="1" applyAlignment="1">
      <alignment horizontal="right" vertical="center" wrapText="1"/>
    </xf>
    <xf numFmtId="172" fontId="54" fillId="30" borderId="13" xfId="0" applyNumberFormat="1" applyFont="1" applyFill="1" applyBorder="1" applyAlignment="1">
      <alignment horizontal="center" vertical="center"/>
    </xf>
    <xf numFmtId="4" fontId="54" fillId="0" borderId="35" xfId="0" applyNumberFormat="1" applyFont="1" applyBorder="1" applyAlignment="1">
      <alignment horizontal="right" vertical="center" wrapText="1"/>
    </xf>
    <xf numFmtId="0" fontId="54" fillId="0" borderId="23" xfId="0" applyFont="1" applyBorder="1" applyAlignment="1">
      <alignment horizontal="center" vertical="center" wrapText="1"/>
    </xf>
    <xf numFmtId="3" fontId="54" fillId="0" borderId="20" xfId="0" applyNumberFormat="1" applyFont="1" applyBorder="1" applyAlignment="1">
      <alignment horizontal="center" vertical="center" wrapText="1"/>
    </xf>
    <xf numFmtId="4" fontId="54" fillId="0" borderId="31" xfId="0" applyNumberFormat="1" applyFont="1" applyBorder="1" applyAlignment="1">
      <alignment horizontal="right" vertical="center" wrapText="1"/>
    </xf>
    <xf numFmtId="0" fontId="54" fillId="0" borderId="24" xfId="0" applyFont="1" applyBorder="1" applyAlignment="1">
      <alignment horizontal="left" vertical="center" wrapText="1"/>
    </xf>
    <xf numFmtId="3" fontId="54" fillId="0" borderId="13" xfId="0" applyNumberFormat="1" applyFont="1" applyBorder="1" applyAlignment="1">
      <alignment horizontal="center" vertical="center" wrapText="1"/>
    </xf>
    <xf numFmtId="0" fontId="54" fillId="0" borderId="18" xfId="0" applyFont="1" applyBorder="1" applyAlignment="1">
      <alignment vertical="center" wrapText="1"/>
    </xf>
    <xf numFmtId="3" fontId="54" fillId="30" borderId="13" xfId="0" applyNumberFormat="1" applyFont="1" applyFill="1" applyBorder="1" applyAlignment="1">
      <alignment horizontal="center" vertical="center" wrapText="1"/>
    </xf>
    <xf numFmtId="4" fontId="54" fillId="30" borderId="17" xfId="0" applyNumberFormat="1" applyFont="1" applyFill="1" applyBorder="1" applyAlignment="1">
      <alignment horizontal="right" vertical="center" wrapText="1"/>
    </xf>
    <xf numFmtId="0" fontId="54" fillId="30" borderId="18" xfId="0" applyFont="1" applyFill="1" applyBorder="1" applyAlignment="1">
      <alignment horizontal="left" vertical="center" wrapText="1"/>
    </xf>
    <xf numFmtId="3" fontId="54" fillId="30" borderId="18" xfId="0" applyNumberFormat="1" applyFont="1" applyFill="1" applyBorder="1" applyAlignment="1">
      <alignment horizontal="center" vertical="center" wrapText="1"/>
    </xf>
    <xf numFmtId="4" fontId="54" fillId="30" borderId="32" xfId="0" applyNumberFormat="1" applyFont="1" applyFill="1" applyBorder="1" applyAlignment="1">
      <alignment horizontal="right" vertical="center" wrapText="1"/>
    </xf>
    <xf numFmtId="3" fontId="54" fillId="30" borderId="24" xfId="0" applyNumberFormat="1" applyFont="1" applyFill="1" applyBorder="1" applyAlignment="1">
      <alignment horizontal="center" vertical="center" wrapText="1"/>
    </xf>
    <xf numFmtId="4" fontId="54" fillId="0" borderId="34" xfId="0" applyNumberFormat="1" applyFont="1" applyBorder="1" applyAlignment="1">
      <alignment horizontal="right" vertical="center"/>
    </xf>
    <xf numFmtId="49" fontId="54" fillId="0" borderId="13" xfId="0" applyNumberFormat="1" applyFont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/>
    </xf>
    <xf numFmtId="3" fontId="54" fillId="0" borderId="13" xfId="0" applyNumberFormat="1" applyFont="1" applyBorder="1" applyAlignment="1">
      <alignment horizontal="center" vertical="center"/>
    </xf>
    <xf numFmtId="0" fontId="54" fillId="30" borderId="13" xfId="0" applyFont="1" applyFill="1" applyBorder="1" applyAlignment="1">
      <alignment vertical="center" wrapText="1"/>
    </xf>
    <xf numFmtId="172" fontId="54" fillId="0" borderId="18" xfId="0" applyNumberFormat="1" applyFont="1" applyBorder="1" applyAlignment="1">
      <alignment horizontal="center" vertical="center"/>
    </xf>
    <xf numFmtId="4" fontId="54" fillId="0" borderId="32" xfId="0" applyNumberFormat="1" applyFont="1" applyBorder="1" applyAlignment="1">
      <alignment vertical="center"/>
    </xf>
    <xf numFmtId="0" fontId="54" fillId="0" borderId="13" xfId="0" applyFont="1" applyBorder="1" applyAlignment="1">
      <alignment vertical="center" wrapText="1"/>
    </xf>
    <xf numFmtId="4" fontId="54" fillId="0" borderId="24" xfId="0" applyNumberFormat="1" applyFont="1" applyBorder="1" applyAlignment="1">
      <alignment horizontal="right" vertical="center"/>
    </xf>
    <xf numFmtId="4" fontId="54" fillId="0" borderId="17" xfId="0" applyNumberFormat="1" applyFont="1" applyBorder="1" applyAlignment="1">
      <alignment vertical="center"/>
    </xf>
    <xf numFmtId="4" fontId="54" fillId="0" borderId="33" xfId="0" applyNumberFormat="1" applyFont="1" applyBorder="1" applyAlignment="1">
      <alignment vertical="center" wrapText="1"/>
    </xf>
    <xf numFmtId="0" fontId="54" fillId="0" borderId="23" xfId="0" applyFont="1" applyBorder="1" applyAlignment="1">
      <alignment horizontal="left" vertical="center" wrapText="1"/>
    </xf>
    <xf numFmtId="172" fontId="56" fillId="0" borderId="13" xfId="0" applyNumberFormat="1" applyFont="1" applyBorder="1" applyAlignment="1">
      <alignment horizontal="center" vertical="center"/>
    </xf>
    <xf numFmtId="0" fontId="56" fillId="0" borderId="13" xfId="0" applyFont="1" applyBorder="1" applyAlignment="1">
      <alignment horizontal="left" vertical="center" wrapText="1"/>
    </xf>
    <xf numFmtId="3" fontId="54" fillId="30" borderId="24" xfId="0" applyNumberFormat="1" applyFont="1" applyFill="1" applyBorder="1" applyAlignment="1">
      <alignment horizontal="center" vertical="center"/>
    </xf>
    <xf numFmtId="4" fontId="54" fillId="30" borderId="33" xfId="0" applyNumberFormat="1" applyFont="1" applyFill="1" applyBorder="1" applyAlignment="1">
      <alignment horizontal="right" vertical="center"/>
    </xf>
    <xf numFmtId="3" fontId="54" fillId="30" borderId="18" xfId="0" applyNumberFormat="1" applyFont="1" applyFill="1" applyBorder="1" applyAlignment="1">
      <alignment horizontal="center" vertical="center"/>
    </xf>
    <xf numFmtId="0" fontId="54" fillId="0" borderId="28" xfId="0" applyFont="1" applyBorder="1" applyAlignment="1">
      <alignment vertical="center"/>
    </xf>
    <xf numFmtId="4" fontId="58" fillId="0" borderId="0" xfId="0" applyNumberFormat="1" applyFont="1"/>
    <xf numFmtId="4" fontId="54" fillId="0" borderId="31" xfId="0" applyNumberFormat="1" applyFont="1" applyBorder="1"/>
    <xf numFmtId="170" fontId="53" fillId="0" borderId="29" xfId="0" applyNumberFormat="1" applyFont="1" applyBorder="1" applyAlignment="1">
      <alignment horizontal="center" vertical="center"/>
    </xf>
    <xf numFmtId="171" fontId="55" fillId="0" borderId="38" xfId="0" applyNumberFormat="1" applyFont="1" applyBorder="1" applyAlignment="1">
      <alignment horizontal="center" vertical="center"/>
    </xf>
    <xf numFmtId="172" fontId="55" fillId="0" borderId="38" xfId="0" applyNumberFormat="1" applyFont="1" applyBorder="1" applyAlignment="1">
      <alignment horizontal="center" vertical="center"/>
    </xf>
    <xf numFmtId="0" fontId="53" fillId="0" borderId="38" xfId="0" applyFont="1" applyBorder="1" applyAlignment="1">
      <alignment horizontal="left" vertical="center" wrapText="1"/>
    </xf>
    <xf numFmtId="0" fontId="55" fillId="0" borderId="38" xfId="0" applyFont="1" applyBorder="1" applyAlignment="1">
      <alignment horizontal="left" vertical="center" wrapText="1"/>
    </xf>
    <xf numFmtId="4" fontId="54" fillId="0" borderId="39" xfId="0" applyNumberFormat="1" applyFont="1" applyBorder="1" applyAlignment="1">
      <alignment horizontal="right" vertical="center" wrapText="1"/>
    </xf>
    <xf numFmtId="3" fontId="54" fillId="0" borderId="22" xfId="0" applyNumberFormat="1" applyFont="1" applyBorder="1" applyAlignment="1">
      <alignment horizontal="center" vertical="center" wrapText="1"/>
    </xf>
    <xf numFmtId="172" fontId="53" fillId="0" borderId="20" xfId="0" applyNumberFormat="1" applyFont="1" applyBorder="1" applyAlignment="1">
      <alignment horizontal="center" vertical="center"/>
    </xf>
    <xf numFmtId="0" fontId="54" fillId="0" borderId="25" xfId="0" applyFont="1" applyBorder="1" applyAlignment="1">
      <alignment horizontal="left" vertical="center" wrapText="1"/>
    </xf>
    <xf numFmtId="4" fontId="54" fillId="0" borderId="32" xfId="0" applyNumberFormat="1" applyFont="1" applyBorder="1" applyAlignment="1">
      <alignment vertical="center" wrapText="1"/>
    </xf>
    <xf numFmtId="4" fontId="54" fillId="30" borderId="32" xfId="0" applyNumberFormat="1" applyFont="1" applyFill="1" applyBorder="1" applyAlignment="1">
      <alignment horizontal="right" vertical="center"/>
    </xf>
    <xf numFmtId="4" fontId="54" fillId="0" borderId="24" xfId="0" applyNumberFormat="1" applyFont="1" applyBorder="1" applyAlignment="1">
      <alignment horizontal="center" vertical="center"/>
    </xf>
    <xf numFmtId="0" fontId="54" fillId="0" borderId="26" xfId="0" applyFont="1" applyBorder="1" applyAlignment="1">
      <alignment vertical="center" wrapText="1"/>
    </xf>
    <xf numFmtId="3" fontId="54" fillId="30" borderId="26" xfId="0" applyNumberFormat="1" applyFont="1" applyFill="1" applyBorder="1" applyAlignment="1">
      <alignment horizontal="center" vertical="center" wrapText="1"/>
    </xf>
    <xf numFmtId="4" fontId="54" fillId="0" borderId="13" xfId="0" applyNumberFormat="1" applyFont="1" applyBorder="1" applyAlignment="1">
      <alignment vertical="center"/>
    </xf>
    <xf numFmtId="4" fontId="54" fillId="0" borderId="13" xfId="0" applyNumberFormat="1" applyFont="1" applyBorder="1"/>
    <xf numFmtId="0" fontId="54" fillId="0" borderId="41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/>
    </xf>
    <xf numFmtId="4" fontId="54" fillId="30" borderId="22" xfId="0" applyNumberFormat="1" applyFont="1" applyFill="1" applyBorder="1" applyAlignment="1">
      <alignment horizontal="center" vertical="center"/>
    </xf>
    <xf numFmtId="0" fontId="54" fillId="30" borderId="22" xfId="0" applyFont="1" applyFill="1" applyBorder="1" applyAlignment="1">
      <alignment horizontal="center" vertical="center"/>
    </xf>
    <xf numFmtId="4" fontId="54" fillId="30" borderId="26" xfId="0" applyNumberFormat="1" applyFont="1" applyFill="1" applyBorder="1" applyAlignment="1">
      <alignment horizontal="center" vertical="center"/>
    </xf>
    <xf numFmtId="4" fontId="54" fillId="0" borderId="21" xfId="0" applyNumberFormat="1" applyFont="1" applyBorder="1" applyAlignment="1">
      <alignment vertical="center"/>
    </xf>
    <xf numFmtId="0" fontId="54" fillId="0" borderId="0" xfId="0" applyFont="1" applyAlignment="1">
      <alignment wrapText="1"/>
    </xf>
    <xf numFmtId="0" fontId="54" fillId="0" borderId="18" xfId="0" applyFont="1" applyBorder="1" applyAlignment="1">
      <alignment wrapText="1"/>
    </xf>
    <xf numFmtId="170" fontId="53" fillId="0" borderId="18" xfId="0" applyNumberFormat="1" applyFont="1" applyBorder="1" applyAlignment="1">
      <alignment horizontal="center" vertical="center"/>
    </xf>
    <xf numFmtId="0" fontId="54" fillId="30" borderId="24" xfId="0" applyFont="1" applyFill="1" applyBorder="1" applyAlignment="1">
      <alignment vertical="center" wrapText="1"/>
    </xf>
    <xf numFmtId="0" fontId="54" fillId="30" borderId="18" xfId="0" applyFont="1" applyFill="1" applyBorder="1" applyAlignment="1">
      <alignment horizontal="center" vertical="center" wrapText="1"/>
    </xf>
    <xf numFmtId="171" fontId="54" fillId="0" borderId="18" xfId="0" applyNumberFormat="1" applyFont="1" applyBorder="1" applyAlignment="1">
      <alignment horizontal="center" vertical="center"/>
    </xf>
    <xf numFmtId="4" fontId="54" fillId="0" borderId="36" xfId="0" applyNumberFormat="1" applyFont="1" applyBorder="1" applyAlignment="1">
      <alignment horizontal="right" vertical="center" wrapText="1"/>
    </xf>
    <xf numFmtId="170" fontId="53" fillId="0" borderId="40" xfId="0" applyNumberFormat="1" applyFont="1" applyBorder="1" applyAlignment="1">
      <alignment horizontal="center" vertical="center"/>
    </xf>
    <xf numFmtId="171" fontId="53" fillId="0" borderId="20" xfId="0" applyNumberFormat="1" applyFont="1" applyBorder="1" applyAlignment="1">
      <alignment horizontal="center" vertical="center"/>
    </xf>
    <xf numFmtId="170" fontId="55" fillId="0" borderId="37" xfId="0" applyNumberFormat="1" applyFont="1" applyBorder="1" applyAlignment="1">
      <alignment horizontal="center" vertical="center"/>
    </xf>
    <xf numFmtId="4" fontId="54" fillId="0" borderId="17" xfId="0" applyNumberFormat="1" applyFont="1" applyBorder="1" applyAlignment="1">
      <alignment horizontal="right" vertical="center"/>
    </xf>
    <xf numFmtId="4" fontId="54" fillId="0" borderId="19" xfId="0" applyNumberFormat="1" applyFont="1" applyBorder="1" applyAlignment="1">
      <alignment vertical="center"/>
    </xf>
    <xf numFmtId="4" fontId="54" fillId="0" borderId="21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</cellXfs>
  <cellStyles count="13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akcent 1 2" xfId="8" xr:uid="{00000000-0005-0000-0000-000006000000}"/>
    <cellStyle name="20% - akcent 2 2" xfId="9" xr:uid="{00000000-0005-0000-0000-000007000000}"/>
    <cellStyle name="20% - akcent 3 2" xfId="10" xr:uid="{00000000-0005-0000-0000-000008000000}"/>
    <cellStyle name="20% - akcent 4 2" xfId="11" xr:uid="{00000000-0005-0000-0000-000009000000}"/>
    <cellStyle name="20% - akcent 5 2" xfId="12" xr:uid="{00000000-0005-0000-0000-00000A000000}"/>
    <cellStyle name="20% - akcent 6 2" xfId="13" xr:uid="{00000000-0005-0000-0000-00000B000000}"/>
    <cellStyle name="40% - Accent1" xfId="14" xr:uid="{00000000-0005-0000-0000-00000C000000}"/>
    <cellStyle name="40% - Accent2" xfId="15" xr:uid="{00000000-0005-0000-0000-00000D000000}"/>
    <cellStyle name="40% - Accent3" xfId="16" xr:uid="{00000000-0005-0000-0000-00000E000000}"/>
    <cellStyle name="40% - Accent4" xfId="17" xr:uid="{00000000-0005-0000-0000-00000F000000}"/>
    <cellStyle name="40% - Accent5" xfId="18" xr:uid="{00000000-0005-0000-0000-000010000000}"/>
    <cellStyle name="40% - Accent6" xfId="19" xr:uid="{00000000-0005-0000-0000-000011000000}"/>
    <cellStyle name="40% - akcent 1 2" xfId="20" xr:uid="{00000000-0005-0000-0000-000012000000}"/>
    <cellStyle name="40% - akcent 2 2" xfId="21" xr:uid="{00000000-0005-0000-0000-000013000000}"/>
    <cellStyle name="40% - akcent 3 2" xfId="22" xr:uid="{00000000-0005-0000-0000-000014000000}"/>
    <cellStyle name="40% - akcent 4 2" xfId="23" xr:uid="{00000000-0005-0000-0000-000015000000}"/>
    <cellStyle name="40% - akcent 5 2" xfId="24" xr:uid="{00000000-0005-0000-0000-000016000000}"/>
    <cellStyle name="40% - akcent 6 2" xfId="25" xr:uid="{00000000-0005-0000-0000-000017000000}"/>
    <cellStyle name="60% - Accent1" xfId="26" xr:uid="{00000000-0005-0000-0000-000018000000}"/>
    <cellStyle name="60% - Accent2" xfId="27" xr:uid="{00000000-0005-0000-0000-000019000000}"/>
    <cellStyle name="60% - Accent3" xfId="28" xr:uid="{00000000-0005-0000-0000-00001A000000}"/>
    <cellStyle name="60% - Accent4" xfId="29" xr:uid="{00000000-0005-0000-0000-00001B000000}"/>
    <cellStyle name="60% - Accent5" xfId="30" xr:uid="{00000000-0005-0000-0000-00001C000000}"/>
    <cellStyle name="60% - Accent6" xfId="31" xr:uid="{00000000-0005-0000-0000-00001D000000}"/>
    <cellStyle name="60% - akcent 1 2" xfId="32" xr:uid="{00000000-0005-0000-0000-00001E000000}"/>
    <cellStyle name="60% - akcent 2 2" xfId="33" xr:uid="{00000000-0005-0000-0000-00001F000000}"/>
    <cellStyle name="60% - akcent 3 2" xfId="34" xr:uid="{00000000-0005-0000-0000-000020000000}"/>
    <cellStyle name="60% - akcent 4 2" xfId="35" xr:uid="{00000000-0005-0000-0000-000021000000}"/>
    <cellStyle name="60% - akcent 5 2" xfId="36" xr:uid="{00000000-0005-0000-0000-000022000000}"/>
    <cellStyle name="60% - akcent 6 2" xfId="37" xr:uid="{00000000-0005-0000-0000-000023000000}"/>
    <cellStyle name="Accent1" xfId="38" xr:uid="{00000000-0005-0000-0000-000024000000}"/>
    <cellStyle name="Accent2" xfId="39" xr:uid="{00000000-0005-0000-0000-000025000000}"/>
    <cellStyle name="Accent3" xfId="40" xr:uid="{00000000-0005-0000-0000-000026000000}"/>
    <cellStyle name="Accent4" xfId="41" xr:uid="{00000000-0005-0000-0000-000027000000}"/>
    <cellStyle name="Accent5" xfId="42" xr:uid="{00000000-0005-0000-0000-000028000000}"/>
    <cellStyle name="Accent6" xfId="43" xr:uid="{00000000-0005-0000-0000-000029000000}"/>
    <cellStyle name="Akcent 1 2" xfId="45" xr:uid="{00000000-0005-0000-0000-00002A000000}"/>
    <cellStyle name="Akcent 1 3" xfId="44" xr:uid="{00000000-0005-0000-0000-00002B000000}"/>
    <cellStyle name="Akcent 2 2" xfId="47" xr:uid="{00000000-0005-0000-0000-00002C000000}"/>
    <cellStyle name="Akcent 2 3" xfId="46" xr:uid="{00000000-0005-0000-0000-00002D000000}"/>
    <cellStyle name="Akcent 3 2" xfId="49" xr:uid="{00000000-0005-0000-0000-00002E000000}"/>
    <cellStyle name="Akcent 3 3" xfId="48" xr:uid="{00000000-0005-0000-0000-00002F000000}"/>
    <cellStyle name="Akcent 4 2" xfId="51" xr:uid="{00000000-0005-0000-0000-000030000000}"/>
    <cellStyle name="Akcent 4 3" xfId="50" xr:uid="{00000000-0005-0000-0000-000031000000}"/>
    <cellStyle name="Akcent 5 2" xfId="53" xr:uid="{00000000-0005-0000-0000-000032000000}"/>
    <cellStyle name="Akcent 5 3" xfId="52" xr:uid="{00000000-0005-0000-0000-000033000000}"/>
    <cellStyle name="Akcent 6 2" xfId="55" xr:uid="{00000000-0005-0000-0000-000034000000}"/>
    <cellStyle name="Akcent 6 3" xfId="54" xr:uid="{00000000-0005-0000-0000-000035000000}"/>
    <cellStyle name="Bad" xfId="56" xr:uid="{00000000-0005-0000-0000-000036000000}"/>
    <cellStyle name="Calculation" xfId="57" xr:uid="{00000000-0005-0000-0000-000037000000}"/>
    <cellStyle name="Check Cell" xfId="58" xr:uid="{00000000-0005-0000-0000-000038000000}"/>
    <cellStyle name="Dane wejściowe 2" xfId="60" xr:uid="{00000000-0005-0000-0000-000039000000}"/>
    <cellStyle name="Dane wejściowe 3" xfId="59" xr:uid="{00000000-0005-0000-0000-00003A000000}"/>
    <cellStyle name="Dane wyjściowe 2" xfId="62" xr:uid="{00000000-0005-0000-0000-00003B000000}"/>
    <cellStyle name="Dane wyjściowe 3" xfId="61" xr:uid="{00000000-0005-0000-0000-00003C000000}"/>
    <cellStyle name="Dobre 2" xfId="63" xr:uid="{00000000-0005-0000-0000-00003D000000}"/>
    <cellStyle name="Dziesiętny 2" xfId="64" xr:uid="{00000000-0005-0000-0000-00003E000000}"/>
    <cellStyle name="Dziesiętny 2 2" xfId="129" xr:uid="{00000000-0005-0000-0000-00003F000000}"/>
    <cellStyle name="Explanatory Text" xfId="65" xr:uid="{00000000-0005-0000-0000-000040000000}"/>
    <cellStyle name="Good" xfId="66" xr:uid="{00000000-0005-0000-0000-000041000000}"/>
    <cellStyle name="Heading" xfId="67" xr:uid="{00000000-0005-0000-0000-000042000000}"/>
    <cellStyle name="Heading 1" xfId="68" xr:uid="{00000000-0005-0000-0000-000043000000}"/>
    <cellStyle name="Heading 2" xfId="69" xr:uid="{00000000-0005-0000-0000-000044000000}"/>
    <cellStyle name="Heading 3" xfId="70" xr:uid="{00000000-0005-0000-0000-000045000000}"/>
    <cellStyle name="Heading 4" xfId="71" xr:uid="{00000000-0005-0000-0000-000046000000}"/>
    <cellStyle name="Heading1" xfId="72" xr:uid="{00000000-0005-0000-0000-000047000000}"/>
    <cellStyle name="Hiperłącze 2" xfId="73" xr:uid="{00000000-0005-0000-0000-000048000000}"/>
    <cellStyle name="Input" xfId="74" xr:uid="{00000000-0005-0000-0000-000049000000}"/>
    <cellStyle name="Komórka połączona 2" xfId="76" xr:uid="{00000000-0005-0000-0000-00004A000000}"/>
    <cellStyle name="Komórka połączona 3" xfId="75" xr:uid="{00000000-0005-0000-0000-00004B000000}"/>
    <cellStyle name="Komórka zaznaczona 2" xfId="78" xr:uid="{00000000-0005-0000-0000-00004C000000}"/>
    <cellStyle name="Komórka zaznaczona 3" xfId="77" xr:uid="{00000000-0005-0000-0000-00004D000000}"/>
    <cellStyle name="Linked Cell" xfId="79" xr:uid="{00000000-0005-0000-0000-00004E000000}"/>
    <cellStyle name="Nagłówek 1 2" xfId="81" xr:uid="{00000000-0005-0000-0000-00004F000000}"/>
    <cellStyle name="Nagłówek 1 3" xfId="80" xr:uid="{00000000-0005-0000-0000-000050000000}"/>
    <cellStyle name="Nagłówek 2 2" xfId="83" xr:uid="{00000000-0005-0000-0000-000051000000}"/>
    <cellStyle name="Nagłówek 2 3" xfId="82" xr:uid="{00000000-0005-0000-0000-000052000000}"/>
    <cellStyle name="Nagłówek 3 2" xfId="85" xr:uid="{00000000-0005-0000-0000-000053000000}"/>
    <cellStyle name="Nagłówek 3 3" xfId="84" xr:uid="{00000000-0005-0000-0000-000054000000}"/>
    <cellStyle name="Nagłówek 4 2" xfId="87" xr:uid="{00000000-0005-0000-0000-000055000000}"/>
    <cellStyle name="Nagłówek 4 3" xfId="86" xr:uid="{00000000-0005-0000-0000-000056000000}"/>
    <cellStyle name="Neutral" xfId="88" xr:uid="{00000000-0005-0000-0000-000057000000}"/>
    <cellStyle name="Neutralne 2" xfId="89" xr:uid="{00000000-0005-0000-0000-000058000000}"/>
    <cellStyle name="Normalny" xfId="0" builtinId="0"/>
    <cellStyle name="Normalny 10" xfId="131" xr:uid="{00000000-0005-0000-0000-00005A000000}"/>
    <cellStyle name="Normalny 2" xfId="90" xr:uid="{00000000-0005-0000-0000-00005B000000}"/>
    <cellStyle name="Normalny 2 2" xfId="91" xr:uid="{00000000-0005-0000-0000-00005C000000}"/>
    <cellStyle name="Normalny 3" xfId="92" xr:uid="{00000000-0005-0000-0000-00005D000000}"/>
    <cellStyle name="Normalny 4" xfId="93" xr:uid="{00000000-0005-0000-0000-00005E000000}"/>
    <cellStyle name="Normalny 4 1" xfId="94" xr:uid="{00000000-0005-0000-0000-00005F000000}"/>
    <cellStyle name="Normalny 4 2" xfId="95" xr:uid="{00000000-0005-0000-0000-000060000000}"/>
    <cellStyle name="Normalny 5" xfId="96" xr:uid="{00000000-0005-0000-0000-000061000000}"/>
    <cellStyle name="Normalny 6" xfId="97" xr:uid="{00000000-0005-0000-0000-000062000000}"/>
    <cellStyle name="Normalny 7" xfId="98" xr:uid="{00000000-0005-0000-0000-000063000000}"/>
    <cellStyle name="Normalny 8" xfId="99" xr:uid="{00000000-0005-0000-0000-000064000000}"/>
    <cellStyle name="Normalny 9" xfId="1" xr:uid="{00000000-0005-0000-0000-000065000000}"/>
    <cellStyle name="Note" xfId="100" xr:uid="{00000000-0005-0000-0000-000066000000}"/>
    <cellStyle name="Obliczenia 2" xfId="102" xr:uid="{00000000-0005-0000-0000-000067000000}"/>
    <cellStyle name="Obliczenia 3" xfId="101" xr:uid="{00000000-0005-0000-0000-000068000000}"/>
    <cellStyle name="Output" xfId="103" xr:uid="{00000000-0005-0000-0000-000069000000}"/>
    <cellStyle name="Procentowy 2" xfId="105" xr:uid="{00000000-0005-0000-0000-00006A000000}"/>
    <cellStyle name="Procentowy 2 2" xfId="106" xr:uid="{00000000-0005-0000-0000-00006B000000}"/>
    <cellStyle name="Procentowy 3" xfId="107" xr:uid="{00000000-0005-0000-0000-00006C000000}"/>
    <cellStyle name="Procentowy 4" xfId="108" xr:uid="{00000000-0005-0000-0000-00006D000000}"/>
    <cellStyle name="Procentowy 4 1" xfId="109" xr:uid="{00000000-0005-0000-0000-00006E000000}"/>
    <cellStyle name="Procentowy 5" xfId="110" xr:uid="{00000000-0005-0000-0000-00006F000000}"/>
    <cellStyle name="Procentowy 6" xfId="104" xr:uid="{00000000-0005-0000-0000-000070000000}"/>
    <cellStyle name="Result" xfId="111" xr:uid="{00000000-0005-0000-0000-000071000000}"/>
    <cellStyle name="Result2" xfId="112" xr:uid="{00000000-0005-0000-0000-000072000000}"/>
    <cellStyle name="Suma 2" xfId="114" xr:uid="{00000000-0005-0000-0000-000073000000}"/>
    <cellStyle name="Suma 3" xfId="113" xr:uid="{00000000-0005-0000-0000-000074000000}"/>
    <cellStyle name="Tekst objaśnienia 2" xfId="116" xr:uid="{00000000-0005-0000-0000-000075000000}"/>
    <cellStyle name="Tekst objaśnienia 3" xfId="115" xr:uid="{00000000-0005-0000-0000-000076000000}"/>
    <cellStyle name="Tekst ostrzeżenia 2" xfId="118" xr:uid="{00000000-0005-0000-0000-000077000000}"/>
    <cellStyle name="Tekst ostrzeżenia 3" xfId="117" xr:uid="{00000000-0005-0000-0000-000078000000}"/>
    <cellStyle name="Title" xfId="119" xr:uid="{00000000-0005-0000-0000-000079000000}"/>
    <cellStyle name="Total" xfId="120" xr:uid="{00000000-0005-0000-0000-00007A000000}"/>
    <cellStyle name="Tytuł 2" xfId="122" xr:uid="{00000000-0005-0000-0000-00007B000000}"/>
    <cellStyle name="Tytuł 3" xfId="121" xr:uid="{00000000-0005-0000-0000-00007C000000}"/>
    <cellStyle name="Uwaga 2" xfId="124" xr:uid="{00000000-0005-0000-0000-00007D000000}"/>
    <cellStyle name="Uwaga 3" xfId="123" xr:uid="{00000000-0005-0000-0000-00007E000000}"/>
    <cellStyle name="Walutowy 2" xfId="125" xr:uid="{00000000-0005-0000-0000-00007F000000}"/>
    <cellStyle name="Walutowy 2 2" xfId="126" xr:uid="{00000000-0005-0000-0000-000080000000}"/>
    <cellStyle name="Walutowy 2 2 2" xfId="130" xr:uid="{00000000-0005-0000-0000-000081000000}"/>
    <cellStyle name="Warning Text" xfId="127" xr:uid="{00000000-0005-0000-0000-000082000000}"/>
    <cellStyle name="Złe 2" xfId="128" xr:uid="{00000000-0005-0000-0000-000083000000}"/>
  </cellStyles>
  <dxfs count="169"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u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0B0A-AE50-4D15-8203-6537DDA4B7DA}">
  <dimension ref="A2:H209"/>
  <sheetViews>
    <sheetView tabSelected="1" topLeftCell="A37" workbookViewId="0">
      <selection activeCell="D49" sqref="D49:H52"/>
    </sheetView>
  </sheetViews>
  <sheetFormatPr defaultRowHeight="12.75"/>
  <cols>
    <col min="1" max="1" width="4.5703125" style="8" customWidth="1"/>
    <col min="2" max="3" width="5.85546875" style="8" customWidth="1"/>
    <col min="4" max="4" width="53.85546875" style="8" customWidth="1"/>
    <col min="5" max="5" width="19.85546875" style="8" customWidth="1"/>
    <col min="6" max="6" width="15.140625" style="8" customWidth="1"/>
    <col min="7" max="7" width="13" style="8" customWidth="1"/>
    <col min="8" max="8" width="12.7109375" style="8" customWidth="1"/>
    <col min="9" max="257" width="9.140625" style="8"/>
    <col min="258" max="258" width="47.85546875" style="8" customWidth="1"/>
    <col min="259" max="259" width="37" style="8" customWidth="1"/>
    <col min="260" max="260" width="25.140625" style="8" customWidth="1"/>
    <col min="261" max="261" width="23.5703125" style="8" customWidth="1"/>
    <col min="262" max="262" width="26" style="8" customWidth="1"/>
    <col min="263" max="513" width="9.140625" style="8"/>
    <col min="514" max="514" width="47.85546875" style="8" customWidth="1"/>
    <col min="515" max="515" width="37" style="8" customWidth="1"/>
    <col min="516" max="516" width="25.140625" style="8" customWidth="1"/>
    <col min="517" max="517" width="23.5703125" style="8" customWidth="1"/>
    <col min="518" max="518" width="26" style="8" customWidth="1"/>
    <col min="519" max="769" width="9.140625" style="8"/>
    <col min="770" max="770" width="47.85546875" style="8" customWidth="1"/>
    <col min="771" max="771" width="37" style="8" customWidth="1"/>
    <col min="772" max="772" width="25.140625" style="8" customWidth="1"/>
    <col min="773" max="773" width="23.5703125" style="8" customWidth="1"/>
    <col min="774" max="774" width="26" style="8" customWidth="1"/>
    <col min="775" max="1025" width="9.140625" style="8"/>
    <col min="1026" max="1026" width="47.85546875" style="8" customWidth="1"/>
    <col min="1027" max="1027" width="37" style="8" customWidth="1"/>
    <col min="1028" max="1028" width="25.140625" style="8" customWidth="1"/>
    <col min="1029" max="1029" width="23.5703125" style="8" customWidth="1"/>
    <col min="1030" max="1030" width="26" style="8" customWidth="1"/>
    <col min="1031" max="1281" width="9.140625" style="8"/>
    <col min="1282" max="1282" width="47.85546875" style="8" customWidth="1"/>
    <col min="1283" max="1283" width="37" style="8" customWidth="1"/>
    <col min="1284" max="1284" width="25.140625" style="8" customWidth="1"/>
    <col min="1285" max="1285" width="23.5703125" style="8" customWidth="1"/>
    <col min="1286" max="1286" width="26" style="8" customWidth="1"/>
    <col min="1287" max="1537" width="9.140625" style="8"/>
    <col min="1538" max="1538" width="47.85546875" style="8" customWidth="1"/>
    <col min="1539" max="1539" width="37" style="8" customWidth="1"/>
    <col min="1540" max="1540" width="25.140625" style="8" customWidth="1"/>
    <col min="1541" max="1541" width="23.5703125" style="8" customWidth="1"/>
    <col min="1542" max="1542" width="26" style="8" customWidth="1"/>
    <col min="1543" max="1793" width="9.140625" style="8"/>
    <col min="1794" max="1794" width="47.85546875" style="8" customWidth="1"/>
    <col min="1795" max="1795" width="37" style="8" customWidth="1"/>
    <col min="1796" max="1796" width="25.140625" style="8" customWidth="1"/>
    <col min="1797" max="1797" width="23.5703125" style="8" customWidth="1"/>
    <col min="1798" max="1798" width="26" style="8" customWidth="1"/>
    <col min="1799" max="2049" width="9.140625" style="8"/>
    <col min="2050" max="2050" width="47.85546875" style="8" customWidth="1"/>
    <col min="2051" max="2051" width="37" style="8" customWidth="1"/>
    <col min="2052" max="2052" width="25.140625" style="8" customWidth="1"/>
    <col min="2053" max="2053" width="23.5703125" style="8" customWidth="1"/>
    <col min="2054" max="2054" width="26" style="8" customWidth="1"/>
    <col min="2055" max="2305" width="9.140625" style="8"/>
    <col min="2306" max="2306" width="47.85546875" style="8" customWidth="1"/>
    <col min="2307" max="2307" width="37" style="8" customWidth="1"/>
    <col min="2308" max="2308" width="25.140625" style="8" customWidth="1"/>
    <col min="2309" max="2309" width="23.5703125" style="8" customWidth="1"/>
    <col min="2310" max="2310" width="26" style="8" customWidth="1"/>
    <col min="2311" max="2561" width="9.140625" style="8"/>
    <col min="2562" max="2562" width="47.85546875" style="8" customWidth="1"/>
    <col min="2563" max="2563" width="37" style="8" customWidth="1"/>
    <col min="2564" max="2564" width="25.140625" style="8" customWidth="1"/>
    <col min="2565" max="2565" width="23.5703125" style="8" customWidth="1"/>
    <col min="2566" max="2566" width="26" style="8" customWidth="1"/>
    <col min="2567" max="2817" width="9.140625" style="8"/>
    <col min="2818" max="2818" width="47.85546875" style="8" customWidth="1"/>
    <col min="2819" max="2819" width="37" style="8" customWidth="1"/>
    <col min="2820" max="2820" width="25.140625" style="8" customWidth="1"/>
    <col min="2821" max="2821" width="23.5703125" style="8" customWidth="1"/>
    <col min="2822" max="2822" width="26" style="8" customWidth="1"/>
    <col min="2823" max="3073" width="9.140625" style="8"/>
    <col min="3074" max="3074" width="47.85546875" style="8" customWidth="1"/>
    <col min="3075" max="3075" width="37" style="8" customWidth="1"/>
    <col min="3076" max="3076" width="25.140625" style="8" customWidth="1"/>
    <col min="3077" max="3077" width="23.5703125" style="8" customWidth="1"/>
    <col min="3078" max="3078" width="26" style="8" customWidth="1"/>
    <col min="3079" max="3329" width="9.140625" style="8"/>
    <col min="3330" max="3330" width="47.85546875" style="8" customWidth="1"/>
    <col min="3331" max="3331" width="37" style="8" customWidth="1"/>
    <col min="3332" max="3332" width="25.140625" style="8" customWidth="1"/>
    <col min="3333" max="3333" width="23.5703125" style="8" customWidth="1"/>
    <col min="3334" max="3334" width="26" style="8" customWidth="1"/>
    <col min="3335" max="3585" width="9.140625" style="8"/>
    <col min="3586" max="3586" width="47.85546875" style="8" customWidth="1"/>
    <col min="3587" max="3587" width="37" style="8" customWidth="1"/>
    <col min="3588" max="3588" width="25.140625" style="8" customWidth="1"/>
    <col min="3589" max="3589" width="23.5703125" style="8" customWidth="1"/>
    <col min="3590" max="3590" width="26" style="8" customWidth="1"/>
    <col min="3591" max="3841" width="9.140625" style="8"/>
    <col min="3842" max="3842" width="47.85546875" style="8" customWidth="1"/>
    <col min="3843" max="3843" width="37" style="8" customWidth="1"/>
    <col min="3844" max="3844" width="25.140625" style="8" customWidth="1"/>
    <col min="3845" max="3845" width="23.5703125" style="8" customWidth="1"/>
    <col min="3846" max="3846" width="26" style="8" customWidth="1"/>
    <col min="3847" max="4097" width="9.140625" style="8"/>
    <col min="4098" max="4098" width="47.85546875" style="8" customWidth="1"/>
    <col min="4099" max="4099" width="37" style="8" customWidth="1"/>
    <col min="4100" max="4100" width="25.140625" style="8" customWidth="1"/>
    <col min="4101" max="4101" width="23.5703125" style="8" customWidth="1"/>
    <col min="4102" max="4102" width="26" style="8" customWidth="1"/>
    <col min="4103" max="4353" width="9.140625" style="8"/>
    <col min="4354" max="4354" width="47.85546875" style="8" customWidth="1"/>
    <col min="4355" max="4355" width="37" style="8" customWidth="1"/>
    <col min="4356" max="4356" width="25.140625" style="8" customWidth="1"/>
    <col min="4357" max="4357" width="23.5703125" style="8" customWidth="1"/>
    <col min="4358" max="4358" width="26" style="8" customWidth="1"/>
    <col min="4359" max="4609" width="9.140625" style="8"/>
    <col min="4610" max="4610" width="47.85546875" style="8" customWidth="1"/>
    <col min="4611" max="4611" width="37" style="8" customWidth="1"/>
    <col min="4612" max="4612" width="25.140625" style="8" customWidth="1"/>
    <col min="4613" max="4613" width="23.5703125" style="8" customWidth="1"/>
    <col min="4614" max="4614" width="26" style="8" customWidth="1"/>
    <col min="4615" max="4865" width="9.140625" style="8"/>
    <col min="4866" max="4866" width="47.85546875" style="8" customWidth="1"/>
    <col min="4867" max="4867" width="37" style="8" customWidth="1"/>
    <col min="4868" max="4868" width="25.140625" style="8" customWidth="1"/>
    <col min="4869" max="4869" width="23.5703125" style="8" customWidth="1"/>
    <col min="4870" max="4870" width="26" style="8" customWidth="1"/>
    <col min="4871" max="5121" width="9.140625" style="8"/>
    <col min="5122" max="5122" width="47.85546875" style="8" customWidth="1"/>
    <col min="5123" max="5123" width="37" style="8" customWidth="1"/>
    <col min="5124" max="5124" width="25.140625" style="8" customWidth="1"/>
    <col min="5125" max="5125" width="23.5703125" style="8" customWidth="1"/>
    <col min="5126" max="5126" width="26" style="8" customWidth="1"/>
    <col min="5127" max="5377" width="9.140625" style="8"/>
    <col min="5378" max="5378" width="47.85546875" style="8" customWidth="1"/>
    <col min="5379" max="5379" width="37" style="8" customWidth="1"/>
    <col min="5380" max="5380" width="25.140625" style="8" customWidth="1"/>
    <col min="5381" max="5381" width="23.5703125" style="8" customWidth="1"/>
    <col min="5382" max="5382" width="26" style="8" customWidth="1"/>
    <col min="5383" max="5633" width="9.140625" style="8"/>
    <col min="5634" max="5634" width="47.85546875" style="8" customWidth="1"/>
    <col min="5635" max="5635" width="37" style="8" customWidth="1"/>
    <col min="5636" max="5636" width="25.140625" style="8" customWidth="1"/>
    <col min="5637" max="5637" width="23.5703125" style="8" customWidth="1"/>
    <col min="5638" max="5638" width="26" style="8" customWidth="1"/>
    <col min="5639" max="5889" width="9.140625" style="8"/>
    <col min="5890" max="5890" width="47.85546875" style="8" customWidth="1"/>
    <col min="5891" max="5891" width="37" style="8" customWidth="1"/>
    <col min="5892" max="5892" width="25.140625" style="8" customWidth="1"/>
    <col min="5893" max="5893" width="23.5703125" style="8" customWidth="1"/>
    <col min="5894" max="5894" width="26" style="8" customWidth="1"/>
    <col min="5895" max="6145" width="9.140625" style="8"/>
    <col min="6146" max="6146" width="47.85546875" style="8" customWidth="1"/>
    <col min="6147" max="6147" width="37" style="8" customWidth="1"/>
    <col min="6148" max="6148" width="25.140625" style="8" customWidth="1"/>
    <col min="6149" max="6149" width="23.5703125" style="8" customWidth="1"/>
    <col min="6150" max="6150" width="26" style="8" customWidth="1"/>
    <col min="6151" max="6401" width="9.140625" style="8"/>
    <col min="6402" max="6402" width="47.85546875" style="8" customWidth="1"/>
    <col min="6403" max="6403" width="37" style="8" customWidth="1"/>
    <col min="6404" max="6404" width="25.140625" style="8" customWidth="1"/>
    <col min="6405" max="6405" width="23.5703125" style="8" customWidth="1"/>
    <col min="6406" max="6406" width="26" style="8" customWidth="1"/>
    <col min="6407" max="6657" width="9.140625" style="8"/>
    <col min="6658" max="6658" width="47.85546875" style="8" customWidth="1"/>
    <col min="6659" max="6659" width="37" style="8" customWidth="1"/>
    <col min="6660" max="6660" width="25.140625" style="8" customWidth="1"/>
    <col min="6661" max="6661" width="23.5703125" style="8" customWidth="1"/>
    <col min="6662" max="6662" width="26" style="8" customWidth="1"/>
    <col min="6663" max="6913" width="9.140625" style="8"/>
    <col min="6914" max="6914" width="47.85546875" style="8" customWidth="1"/>
    <col min="6915" max="6915" width="37" style="8" customWidth="1"/>
    <col min="6916" max="6916" width="25.140625" style="8" customWidth="1"/>
    <col min="6917" max="6917" width="23.5703125" style="8" customWidth="1"/>
    <col min="6918" max="6918" width="26" style="8" customWidth="1"/>
    <col min="6919" max="7169" width="9.140625" style="8"/>
    <col min="7170" max="7170" width="47.85546875" style="8" customWidth="1"/>
    <col min="7171" max="7171" width="37" style="8" customWidth="1"/>
    <col min="7172" max="7172" width="25.140625" style="8" customWidth="1"/>
    <col min="7173" max="7173" width="23.5703125" style="8" customWidth="1"/>
    <col min="7174" max="7174" width="26" style="8" customWidth="1"/>
    <col min="7175" max="7425" width="9.140625" style="8"/>
    <col min="7426" max="7426" width="47.85546875" style="8" customWidth="1"/>
    <col min="7427" max="7427" width="37" style="8" customWidth="1"/>
    <col min="7428" max="7428" width="25.140625" style="8" customWidth="1"/>
    <col min="7429" max="7429" width="23.5703125" style="8" customWidth="1"/>
    <col min="7430" max="7430" width="26" style="8" customWidth="1"/>
    <col min="7431" max="7681" width="9.140625" style="8"/>
    <col min="7682" max="7682" width="47.85546875" style="8" customWidth="1"/>
    <col min="7683" max="7683" width="37" style="8" customWidth="1"/>
    <col min="7684" max="7684" width="25.140625" style="8" customWidth="1"/>
    <col min="7685" max="7685" width="23.5703125" style="8" customWidth="1"/>
    <col min="7686" max="7686" width="26" style="8" customWidth="1"/>
    <col min="7687" max="7937" width="9.140625" style="8"/>
    <col min="7938" max="7938" width="47.85546875" style="8" customWidth="1"/>
    <col min="7939" max="7939" width="37" style="8" customWidth="1"/>
    <col min="7940" max="7940" width="25.140625" style="8" customWidth="1"/>
    <col min="7941" max="7941" width="23.5703125" style="8" customWidth="1"/>
    <col min="7942" max="7942" width="26" style="8" customWidth="1"/>
    <col min="7943" max="8193" width="9.140625" style="8"/>
    <col min="8194" max="8194" width="47.85546875" style="8" customWidth="1"/>
    <col min="8195" max="8195" width="37" style="8" customWidth="1"/>
    <col min="8196" max="8196" width="25.140625" style="8" customWidth="1"/>
    <col min="8197" max="8197" width="23.5703125" style="8" customWidth="1"/>
    <col min="8198" max="8198" width="26" style="8" customWidth="1"/>
    <col min="8199" max="8449" width="9.140625" style="8"/>
    <col min="8450" max="8450" width="47.85546875" style="8" customWidth="1"/>
    <col min="8451" max="8451" width="37" style="8" customWidth="1"/>
    <col min="8452" max="8452" width="25.140625" style="8" customWidth="1"/>
    <col min="8453" max="8453" width="23.5703125" style="8" customWidth="1"/>
    <col min="8454" max="8454" width="26" style="8" customWidth="1"/>
    <col min="8455" max="8705" width="9.140625" style="8"/>
    <col min="8706" max="8706" width="47.85546875" style="8" customWidth="1"/>
    <col min="8707" max="8707" width="37" style="8" customWidth="1"/>
    <col min="8708" max="8708" width="25.140625" style="8" customWidth="1"/>
    <col min="8709" max="8709" width="23.5703125" style="8" customWidth="1"/>
    <col min="8710" max="8710" width="26" style="8" customWidth="1"/>
    <col min="8711" max="8961" width="9.140625" style="8"/>
    <col min="8962" max="8962" width="47.85546875" style="8" customWidth="1"/>
    <col min="8963" max="8963" width="37" style="8" customWidth="1"/>
    <col min="8964" max="8964" width="25.140625" style="8" customWidth="1"/>
    <col min="8965" max="8965" width="23.5703125" style="8" customWidth="1"/>
    <col min="8966" max="8966" width="26" style="8" customWidth="1"/>
    <col min="8967" max="9217" width="9.140625" style="8"/>
    <col min="9218" max="9218" width="47.85546875" style="8" customWidth="1"/>
    <col min="9219" max="9219" width="37" style="8" customWidth="1"/>
    <col min="9220" max="9220" width="25.140625" style="8" customWidth="1"/>
    <col min="9221" max="9221" width="23.5703125" style="8" customWidth="1"/>
    <col min="9222" max="9222" width="26" style="8" customWidth="1"/>
    <col min="9223" max="9473" width="9.140625" style="8"/>
    <col min="9474" max="9474" width="47.85546875" style="8" customWidth="1"/>
    <col min="9475" max="9475" width="37" style="8" customWidth="1"/>
    <col min="9476" max="9476" width="25.140625" style="8" customWidth="1"/>
    <col min="9477" max="9477" width="23.5703125" style="8" customWidth="1"/>
    <col min="9478" max="9478" width="26" style="8" customWidth="1"/>
    <col min="9479" max="9729" width="9.140625" style="8"/>
    <col min="9730" max="9730" width="47.85546875" style="8" customWidth="1"/>
    <col min="9731" max="9731" width="37" style="8" customWidth="1"/>
    <col min="9732" max="9732" width="25.140625" style="8" customWidth="1"/>
    <col min="9733" max="9733" width="23.5703125" style="8" customWidth="1"/>
    <col min="9734" max="9734" width="26" style="8" customWidth="1"/>
    <col min="9735" max="9985" width="9.140625" style="8"/>
    <col min="9986" max="9986" width="47.85546875" style="8" customWidth="1"/>
    <col min="9987" max="9987" width="37" style="8" customWidth="1"/>
    <col min="9988" max="9988" width="25.140625" style="8" customWidth="1"/>
    <col min="9989" max="9989" width="23.5703125" style="8" customWidth="1"/>
    <col min="9990" max="9990" width="26" style="8" customWidth="1"/>
    <col min="9991" max="10241" width="9.140625" style="8"/>
    <col min="10242" max="10242" width="47.85546875" style="8" customWidth="1"/>
    <col min="10243" max="10243" width="37" style="8" customWidth="1"/>
    <col min="10244" max="10244" width="25.140625" style="8" customWidth="1"/>
    <col min="10245" max="10245" width="23.5703125" style="8" customWidth="1"/>
    <col min="10246" max="10246" width="26" style="8" customWidth="1"/>
    <col min="10247" max="10497" width="9.140625" style="8"/>
    <col min="10498" max="10498" width="47.85546875" style="8" customWidth="1"/>
    <col min="10499" max="10499" width="37" style="8" customWidth="1"/>
    <col min="10500" max="10500" width="25.140625" style="8" customWidth="1"/>
    <col min="10501" max="10501" width="23.5703125" style="8" customWidth="1"/>
    <col min="10502" max="10502" width="26" style="8" customWidth="1"/>
    <col min="10503" max="10753" width="9.140625" style="8"/>
    <col min="10754" max="10754" width="47.85546875" style="8" customWidth="1"/>
    <col min="10755" max="10755" width="37" style="8" customWidth="1"/>
    <col min="10756" max="10756" width="25.140625" style="8" customWidth="1"/>
    <col min="10757" max="10757" width="23.5703125" style="8" customWidth="1"/>
    <col min="10758" max="10758" width="26" style="8" customWidth="1"/>
    <col min="10759" max="11009" width="9.140625" style="8"/>
    <col min="11010" max="11010" width="47.85546875" style="8" customWidth="1"/>
    <col min="11011" max="11011" width="37" style="8" customWidth="1"/>
    <col min="11012" max="11012" width="25.140625" style="8" customWidth="1"/>
    <col min="11013" max="11013" width="23.5703125" style="8" customWidth="1"/>
    <col min="11014" max="11014" width="26" style="8" customWidth="1"/>
    <col min="11015" max="11265" width="9.140625" style="8"/>
    <col min="11266" max="11266" width="47.85546875" style="8" customWidth="1"/>
    <col min="11267" max="11267" width="37" style="8" customWidth="1"/>
    <col min="11268" max="11268" width="25.140625" style="8" customWidth="1"/>
    <col min="11269" max="11269" width="23.5703125" style="8" customWidth="1"/>
    <col min="11270" max="11270" width="26" style="8" customWidth="1"/>
    <col min="11271" max="11521" width="9.140625" style="8"/>
    <col min="11522" max="11522" width="47.85546875" style="8" customWidth="1"/>
    <col min="11523" max="11523" width="37" style="8" customWidth="1"/>
    <col min="11524" max="11524" width="25.140625" style="8" customWidth="1"/>
    <col min="11525" max="11525" width="23.5703125" style="8" customWidth="1"/>
    <col min="11526" max="11526" width="26" style="8" customWidth="1"/>
    <col min="11527" max="11777" width="9.140625" style="8"/>
    <col min="11778" max="11778" width="47.85546875" style="8" customWidth="1"/>
    <col min="11779" max="11779" width="37" style="8" customWidth="1"/>
    <col min="11780" max="11780" width="25.140625" style="8" customWidth="1"/>
    <col min="11781" max="11781" width="23.5703125" style="8" customWidth="1"/>
    <col min="11782" max="11782" width="26" style="8" customWidth="1"/>
    <col min="11783" max="12033" width="9.140625" style="8"/>
    <col min="12034" max="12034" width="47.85546875" style="8" customWidth="1"/>
    <col min="12035" max="12035" width="37" style="8" customWidth="1"/>
    <col min="12036" max="12036" width="25.140625" style="8" customWidth="1"/>
    <col min="12037" max="12037" width="23.5703125" style="8" customWidth="1"/>
    <col min="12038" max="12038" width="26" style="8" customWidth="1"/>
    <col min="12039" max="12289" width="9.140625" style="8"/>
    <col min="12290" max="12290" width="47.85546875" style="8" customWidth="1"/>
    <col min="12291" max="12291" width="37" style="8" customWidth="1"/>
    <col min="12292" max="12292" width="25.140625" style="8" customWidth="1"/>
    <col min="12293" max="12293" width="23.5703125" style="8" customWidth="1"/>
    <col min="12294" max="12294" width="26" style="8" customWidth="1"/>
    <col min="12295" max="12545" width="9.140625" style="8"/>
    <col min="12546" max="12546" width="47.85546875" style="8" customWidth="1"/>
    <col min="12547" max="12547" width="37" style="8" customWidth="1"/>
    <col min="12548" max="12548" width="25.140625" style="8" customWidth="1"/>
    <col min="12549" max="12549" width="23.5703125" style="8" customWidth="1"/>
    <col min="12550" max="12550" width="26" style="8" customWidth="1"/>
    <col min="12551" max="12801" width="9.140625" style="8"/>
    <col min="12802" max="12802" width="47.85546875" style="8" customWidth="1"/>
    <col min="12803" max="12803" width="37" style="8" customWidth="1"/>
    <col min="12804" max="12804" width="25.140625" style="8" customWidth="1"/>
    <col min="12805" max="12805" width="23.5703125" style="8" customWidth="1"/>
    <col min="12806" max="12806" width="26" style="8" customWidth="1"/>
    <col min="12807" max="13057" width="9.140625" style="8"/>
    <col min="13058" max="13058" width="47.85546875" style="8" customWidth="1"/>
    <col min="13059" max="13059" width="37" style="8" customWidth="1"/>
    <col min="13060" max="13060" width="25.140625" style="8" customWidth="1"/>
    <col min="13061" max="13061" width="23.5703125" style="8" customWidth="1"/>
    <col min="13062" max="13062" width="26" style="8" customWidth="1"/>
    <col min="13063" max="13313" width="9.140625" style="8"/>
    <col min="13314" max="13314" width="47.85546875" style="8" customWidth="1"/>
    <col min="13315" max="13315" width="37" style="8" customWidth="1"/>
    <col min="13316" max="13316" width="25.140625" style="8" customWidth="1"/>
    <col min="13317" max="13317" width="23.5703125" style="8" customWidth="1"/>
    <col min="13318" max="13318" width="26" style="8" customWidth="1"/>
    <col min="13319" max="13569" width="9.140625" style="8"/>
    <col min="13570" max="13570" width="47.85546875" style="8" customWidth="1"/>
    <col min="13571" max="13571" width="37" style="8" customWidth="1"/>
    <col min="13572" max="13572" width="25.140625" style="8" customWidth="1"/>
    <col min="13573" max="13573" width="23.5703125" style="8" customWidth="1"/>
    <col min="13574" max="13574" width="26" style="8" customWidth="1"/>
    <col min="13575" max="13825" width="9.140625" style="8"/>
    <col min="13826" max="13826" width="47.85546875" style="8" customWidth="1"/>
    <col min="13827" max="13827" width="37" style="8" customWidth="1"/>
    <col min="13828" max="13828" width="25.140625" style="8" customWidth="1"/>
    <col min="13829" max="13829" width="23.5703125" style="8" customWidth="1"/>
    <col min="13830" max="13830" width="26" style="8" customWidth="1"/>
    <col min="13831" max="14081" width="9.140625" style="8"/>
    <col min="14082" max="14082" width="47.85546875" style="8" customWidth="1"/>
    <col min="14083" max="14083" width="37" style="8" customWidth="1"/>
    <col min="14084" max="14084" width="25.140625" style="8" customWidth="1"/>
    <col min="14085" max="14085" width="23.5703125" style="8" customWidth="1"/>
    <col min="14086" max="14086" width="26" style="8" customWidth="1"/>
    <col min="14087" max="14337" width="9.140625" style="8"/>
    <col min="14338" max="14338" width="47.85546875" style="8" customWidth="1"/>
    <col min="14339" max="14339" width="37" style="8" customWidth="1"/>
    <col min="14340" max="14340" width="25.140625" style="8" customWidth="1"/>
    <col min="14341" max="14341" width="23.5703125" style="8" customWidth="1"/>
    <col min="14342" max="14342" width="26" style="8" customWidth="1"/>
    <col min="14343" max="14593" width="9.140625" style="8"/>
    <col min="14594" max="14594" width="47.85546875" style="8" customWidth="1"/>
    <col min="14595" max="14595" width="37" style="8" customWidth="1"/>
    <col min="14596" max="14596" width="25.140625" style="8" customWidth="1"/>
    <col min="14597" max="14597" width="23.5703125" style="8" customWidth="1"/>
    <col min="14598" max="14598" width="26" style="8" customWidth="1"/>
    <col min="14599" max="14849" width="9.140625" style="8"/>
    <col min="14850" max="14850" width="47.85546875" style="8" customWidth="1"/>
    <col min="14851" max="14851" width="37" style="8" customWidth="1"/>
    <col min="14852" max="14852" width="25.140625" style="8" customWidth="1"/>
    <col min="14853" max="14853" width="23.5703125" style="8" customWidth="1"/>
    <col min="14854" max="14854" width="26" style="8" customWidth="1"/>
    <col min="14855" max="15105" width="9.140625" style="8"/>
    <col min="15106" max="15106" width="47.85546875" style="8" customWidth="1"/>
    <col min="15107" max="15107" width="37" style="8" customWidth="1"/>
    <col min="15108" max="15108" width="25.140625" style="8" customWidth="1"/>
    <col min="15109" max="15109" width="23.5703125" style="8" customWidth="1"/>
    <col min="15110" max="15110" width="26" style="8" customWidth="1"/>
    <col min="15111" max="15361" width="9.140625" style="8"/>
    <col min="15362" max="15362" width="47.85546875" style="8" customWidth="1"/>
    <col min="15363" max="15363" width="37" style="8" customWidth="1"/>
    <col min="15364" max="15364" width="25.140625" style="8" customWidth="1"/>
    <col min="15365" max="15365" width="23.5703125" style="8" customWidth="1"/>
    <col min="15366" max="15366" width="26" style="8" customWidth="1"/>
    <col min="15367" max="15617" width="9.140625" style="8"/>
    <col min="15618" max="15618" width="47.85546875" style="8" customWidth="1"/>
    <col min="15619" max="15619" width="37" style="8" customWidth="1"/>
    <col min="15620" max="15620" width="25.140625" style="8" customWidth="1"/>
    <col min="15621" max="15621" width="23.5703125" style="8" customWidth="1"/>
    <col min="15622" max="15622" width="26" style="8" customWidth="1"/>
    <col min="15623" max="15873" width="9.140625" style="8"/>
    <col min="15874" max="15874" width="47.85546875" style="8" customWidth="1"/>
    <col min="15875" max="15875" width="37" style="8" customWidth="1"/>
    <col min="15876" max="15876" width="25.140625" style="8" customWidth="1"/>
    <col min="15877" max="15877" width="23.5703125" style="8" customWidth="1"/>
    <col min="15878" max="15878" width="26" style="8" customWidth="1"/>
    <col min="15879" max="16129" width="9.140625" style="8"/>
    <col min="16130" max="16130" width="47.85546875" style="8" customWidth="1"/>
    <col min="16131" max="16131" width="37" style="8" customWidth="1"/>
    <col min="16132" max="16132" width="25.140625" style="8" customWidth="1"/>
    <col min="16133" max="16133" width="23.5703125" style="8" customWidth="1"/>
    <col min="16134" max="16134" width="26" style="8" customWidth="1"/>
    <col min="16135" max="16384" width="9.140625" style="8"/>
  </cols>
  <sheetData>
    <row r="2" spans="1:8" ht="1.5" hidden="1" customHeight="1">
      <c r="F2" s="9" t="s">
        <v>42</v>
      </c>
    </row>
    <row r="3" spans="1:8" ht="1.5" hidden="1" customHeight="1">
      <c r="D3" s="10"/>
      <c r="F3" s="9"/>
    </row>
    <row r="4" spans="1:8" ht="18.75">
      <c r="A4" s="143" t="s">
        <v>90</v>
      </c>
      <c r="B4" s="144"/>
      <c r="C4" s="144"/>
      <c r="D4" s="144"/>
      <c r="E4" s="144"/>
      <c r="F4" s="144"/>
      <c r="G4" s="144"/>
      <c r="H4" s="144"/>
    </row>
    <row r="5" spans="1:8" ht="3.75" hidden="1" customHeight="1">
      <c r="F5" s="9" t="s">
        <v>42</v>
      </c>
      <c r="G5" s="11"/>
    </row>
    <row r="6" spans="1:8" ht="9" hidden="1" customHeight="1">
      <c r="F6" s="9"/>
    </row>
    <row r="7" spans="1:8" ht="10.5" customHeight="1">
      <c r="F7" s="9"/>
    </row>
    <row r="8" spans="1:8" ht="47.25" customHeight="1">
      <c r="A8" s="32" t="s">
        <v>0</v>
      </c>
      <c r="B8" s="33" t="s">
        <v>1</v>
      </c>
      <c r="C8" s="1" t="s">
        <v>2</v>
      </c>
      <c r="D8" s="34" t="s">
        <v>39</v>
      </c>
      <c r="E8" s="34" t="s">
        <v>43</v>
      </c>
      <c r="F8" s="34" t="s">
        <v>44</v>
      </c>
      <c r="G8" s="34" t="s">
        <v>45</v>
      </c>
      <c r="H8" s="35" t="s">
        <v>143</v>
      </c>
    </row>
    <row r="9" spans="1:8">
      <c r="A9" s="36">
        <v>10</v>
      </c>
      <c r="B9" s="12"/>
      <c r="C9" s="13"/>
      <c r="D9" s="14" t="s">
        <v>3</v>
      </c>
      <c r="E9" s="14"/>
      <c r="F9" s="14"/>
      <c r="G9" s="14"/>
      <c r="H9" s="37">
        <f>H10+H13</f>
        <v>2075000</v>
      </c>
    </row>
    <row r="10" spans="1:8">
      <c r="A10" s="31"/>
      <c r="B10" s="12">
        <v>1008</v>
      </c>
      <c r="C10" s="13"/>
      <c r="D10" s="14" t="s">
        <v>27</v>
      </c>
      <c r="E10" s="14"/>
      <c r="F10" s="14"/>
      <c r="G10" s="14"/>
      <c r="H10" s="37">
        <f>SUM(H12)</f>
        <v>1960000</v>
      </c>
    </row>
    <row r="11" spans="1:8">
      <c r="A11" s="31"/>
      <c r="B11" s="12"/>
      <c r="C11" s="13">
        <v>6050</v>
      </c>
      <c r="D11" s="15" t="s">
        <v>28</v>
      </c>
      <c r="E11" s="16"/>
      <c r="F11" s="18"/>
      <c r="G11" s="18"/>
      <c r="H11" s="38">
        <f>H12</f>
        <v>1960000</v>
      </c>
    </row>
    <row r="12" spans="1:8" ht="25.5">
      <c r="A12" s="31"/>
      <c r="B12" s="12"/>
      <c r="C12" s="17"/>
      <c r="D12" s="116" t="s">
        <v>46</v>
      </c>
      <c r="E12" s="23" t="s">
        <v>47</v>
      </c>
      <c r="F12" s="22" t="s">
        <v>161</v>
      </c>
      <c r="G12" s="24">
        <f>100000+4000000+2850000</f>
        <v>6950000</v>
      </c>
      <c r="H12" s="117">
        <v>1960000</v>
      </c>
    </row>
    <row r="13" spans="1:8">
      <c r="A13" s="31"/>
      <c r="B13" s="12">
        <v>1044</v>
      </c>
      <c r="C13" s="17"/>
      <c r="D13" s="14" t="s">
        <v>4</v>
      </c>
      <c r="E13" s="14"/>
      <c r="F13" s="79"/>
      <c r="G13" s="79"/>
      <c r="H13" s="98">
        <f>H14</f>
        <v>115000</v>
      </c>
    </row>
    <row r="14" spans="1:8">
      <c r="A14" s="31"/>
      <c r="B14" s="12"/>
      <c r="C14" s="17">
        <v>6050</v>
      </c>
      <c r="D14" s="15" t="s">
        <v>28</v>
      </c>
      <c r="E14" s="15"/>
      <c r="F14" s="99"/>
      <c r="G14" s="99"/>
      <c r="H14" s="38">
        <f>H15</f>
        <v>115000</v>
      </c>
    </row>
    <row r="15" spans="1:8" ht="15.75" customHeight="1">
      <c r="A15" s="31"/>
      <c r="B15" s="12"/>
      <c r="C15" s="17"/>
      <c r="D15" s="46" t="s">
        <v>92</v>
      </c>
      <c r="E15" s="22" t="s">
        <v>47</v>
      </c>
      <c r="F15" s="22">
        <v>2025</v>
      </c>
      <c r="G15" s="66">
        <v>200000</v>
      </c>
      <c r="H15" s="94">
        <f>200000-85000</f>
        <v>115000</v>
      </c>
    </row>
    <row r="16" spans="1:8">
      <c r="A16" s="31">
        <v>600</v>
      </c>
      <c r="B16" s="12"/>
      <c r="C16" s="13"/>
      <c r="D16" s="14" t="s">
        <v>6</v>
      </c>
      <c r="E16" s="68"/>
      <c r="F16" s="96"/>
      <c r="G16" s="96"/>
      <c r="H16" s="97">
        <f>+H20+H28+H17+H72</f>
        <v>40269000</v>
      </c>
    </row>
    <row r="17" spans="1:8">
      <c r="A17" s="31"/>
      <c r="B17" s="12">
        <v>60013</v>
      </c>
      <c r="C17" s="13"/>
      <c r="D17" s="14" t="s">
        <v>140</v>
      </c>
      <c r="E17" s="14"/>
      <c r="F17" s="14"/>
      <c r="G17" s="14"/>
      <c r="H17" s="37">
        <f>H18</f>
        <v>220000</v>
      </c>
    </row>
    <row r="18" spans="1:8">
      <c r="A18" s="31"/>
      <c r="B18" s="12"/>
      <c r="C18" s="13">
        <v>6050</v>
      </c>
      <c r="D18" s="14" t="s">
        <v>28</v>
      </c>
      <c r="E18" s="22"/>
      <c r="F18" s="22"/>
      <c r="G18" s="66"/>
      <c r="H18" s="94">
        <f>H19</f>
        <v>220000</v>
      </c>
    </row>
    <row r="19" spans="1:8" ht="38.25">
      <c r="A19" s="31"/>
      <c r="B19" s="12"/>
      <c r="C19" s="13"/>
      <c r="D19" s="14" t="s">
        <v>151</v>
      </c>
      <c r="E19" s="51" t="s">
        <v>47</v>
      </c>
      <c r="F19" s="119" t="s">
        <v>136</v>
      </c>
      <c r="G19" s="96">
        <f>150000+200000</f>
        <v>350000</v>
      </c>
      <c r="H19" s="97">
        <f>20000+200000</f>
        <v>220000</v>
      </c>
    </row>
    <row r="20" spans="1:8">
      <c r="A20" s="31"/>
      <c r="B20" s="12">
        <v>60014</v>
      </c>
      <c r="C20" s="13"/>
      <c r="D20" s="14" t="s">
        <v>7</v>
      </c>
      <c r="E20" s="14"/>
      <c r="F20" s="14"/>
      <c r="G20" s="14"/>
      <c r="H20" s="37">
        <f>H21+H26</f>
        <v>1850000</v>
      </c>
    </row>
    <row r="21" spans="1:8" ht="15.75">
      <c r="A21" s="2"/>
      <c r="B21" s="3"/>
      <c r="C21" s="13">
        <v>6050</v>
      </c>
      <c r="D21" s="14" t="s">
        <v>28</v>
      </c>
      <c r="E21" s="22"/>
      <c r="F21" s="22"/>
      <c r="G21" s="66"/>
      <c r="H21" s="94">
        <f>SUM(H22:H25)</f>
        <v>850000</v>
      </c>
    </row>
    <row r="22" spans="1:8" ht="25.5">
      <c r="A22" s="2"/>
      <c r="B22" s="3"/>
      <c r="C22" s="61"/>
      <c r="D22" s="14" t="s">
        <v>141</v>
      </c>
      <c r="E22" s="51" t="s">
        <v>47</v>
      </c>
      <c r="F22" s="51">
        <v>2025</v>
      </c>
      <c r="G22" s="59">
        <v>150000</v>
      </c>
      <c r="H22" s="60">
        <v>150000</v>
      </c>
    </row>
    <row r="23" spans="1:8" ht="15.75">
      <c r="A23" s="2"/>
      <c r="B23" s="3"/>
      <c r="C23" s="61"/>
      <c r="D23" s="81" t="s">
        <v>139</v>
      </c>
      <c r="E23" s="51" t="s">
        <v>47</v>
      </c>
      <c r="F23" s="51">
        <v>2025</v>
      </c>
      <c r="G23" s="59">
        <v>500000</v>
      </c>
      <c r="H23" s="60">
        <v>500000</v>
      </c>
    </row>
    <row r="24" spans="1:8" ht="38.25">
      <c r="A24" s="2"/>
      <c r="B24" s="3"/>
      <c r="C24" s="61"/>
      <c r="D24" s="120" t="s">
        <v>178</v>
      </c>
      <c r="E24" s="51" t="s">
        <v>47</v>
      </c>
      <c r="F24" s="51">
        <v>2025</v>
      </c>
      <c r="G24" s="59">
        <v>140000</v>
      </c>
      <c r="H24" s="60">
        <v>140000</v>
      </c>
    </row>
    <row r="25" spans="1:8" ht="38.25">
      <c r="A25" s="2"/>
      <c r="B25" s="3"/>
      <c r="C25" s="4"/>
      <c r="D25" s="65" t="s">
        <v>48</v>
      </c>
      <c r="E25" s="22" t="s">
        <v>47</v>
      </c>
      <c r="F25" s="22" t="s">
        <v>91</v>
      </c>
      <c r="G25" s="66">
        <f>150000+70000+1000000</f>
        <v>1220000</v>
      </c>
      <c r="H25" s="94">
        <f>150000-20000-10000+70000-130000</f>
        <v>60000</v>
      </c>
    </row>
    <row r="26" spans="1:8" ht="37.5" customHeight="1">
      <c r="A26" s="2"/>
      <c r="B26" s="3"/>
      <c r="C26" s="93">
        <v>6300</v>
      </c>
      <c r="D26" s="46" t="s">
        <v>29</v>
      </c>
      <c r="E26" s="51"/>
      <c r="F26" s="22"/>
      <c r="G26" s="66"/>
      <c r="H26" s="94">
        <f>SUM(H27:H27)</f>
        <v>1000000</v>
      </c>
    </row>
    <row r="27" spans="1:8" ht="15.75">
      <c r="A27" s="2"/>
      <c r="B27" s="3"/>
      <c r="C27" s="13"/>
      <c r="D27" s="95" t="s">
        <v>138</v>
      </c>
      <c r="E27" s="22" t="s">
        <v>47</v>
      </c>
      <c r="F27" s="22">
        <v>2025</v>
      </c>
      <c r="G27" s="66">
        <v>1000000</v>
      </c>
      <c r="H27" s="94">
        <v>1000000</v>
      </c>
    </row>
    <row r="28" spans="1:8">
      <c r="A28" s="31"/>
      <c r="B28" s="12">
        <v>60016</v>
      </c>
      <c r="C28" s="13"/>
      <c r="D28" s="14" t="s">
        <v>8</v>
      </c>
      <c r="E28" s="14"/>
      <c r="F28" s="14"/>
      <c r="G28" s="14"/>
      <c r="H28" s="57">
        <f>H29</f>
        <v>38149000</v>
      </c>
    </row>
    <row r="29" spans="1:8" ht="15.75">
      <c r="A29" s="2"/>
      <c r="B29" s="3"/>
      <c r="C29" s="13">
        <v>6050</v>
      </c>
      <c r="D29" s="14" t="s">
        <v>28</v>
      </c>
      <c r="E29" s="22"/>
      <c r="F29" s="22"/>
      <c r="G29" s="66"/>
      <c r="H29" s="67">
        <f>SUM(H30:H71)</f>
        <v>38149000</v>
      </c>
    </row>
    <row r="30" spans="1:8" ht="16.5" customHeight="1">
      <c r="A30" s="2"/>
      <c r="B30" s="3"/>
      <c r="C30" s="61"/>
      <c r="D30" s="46" t="s">
        <v>50</v>
      </c>
      <c r="E30" s="22" t="s">
        <v>47</v>
      </c>
      <c r="F30" s="22" t="s">
        <v>51</v>
      </c>
      <c r="G30" s="24">
        <f>2000000+1150000</f>
        <v>3150000</v>
      </c>
      <c r="H30" s="47">
        <v>2140000</v>
      </c>
    </row>
    <row r="31" spans="1:8" ht="15" customHeight="1">
      <c r="A31" s="2"/>
      <c r="B31" s="3"/>
      <c r="C31" s="61"/>
      <c r="D31" s="46" t="s">
        <v>58</v>
      </c>
      <c r="E31" s="22" t="s">
        <v>47</v>
      </c>
      <c r="F31" s="22" t="s">
        <v>60</v>
      </c>
      <c r="G31" s="24">
        <f>70000+5000</f>
        <v>75000</v>
      </c>
      <c r="H31" s="47">
        <v>68000</v>
      </c>
    </row>
    <row r="32" spans="1:8" ht="15.75">
      <c r="A32" s="2"/>
      <c r="B32" s="3"/>
      <c r="C32" s="61"/>
      <c r="D32" s="84" t="s">
        <v>57</v>
      </c>
      <c r="E32" s="56" t="s">
        <v>47</v>
      </c>
      <c r="F32" s="56" t="s">
        <v>60</v>
      </c>
      <c r="G32" s="121">
        <f>80000+17000</f>
        <v>97000</v>
      </c>
      <c r="H32" s="86">
        <f>80000-2000-38000+17000+38000</f>
        <v>95000</v>
      </c>
    </row>
    <row r="33" spans="1:8" ht="15.75">
      <c r="A33" s="2"/>
      <c r="B33" s="3"/>
      <c r="C33" s="61"/>
      <c r="D33" s="84" t="s">
        <v>93</v>
      </c>
      <c r="E33" s="56" t="s">
        <v>47</v>
      </c>
      <c r="F33" s="56" t="s">
        <v>111</v>
      </c>
      <c r="G33" s="87">
        <v>100000</v>
      </c>
      <c r="H33" s="54">
        <v>1000</v>
      </c>
    </row>
    <row r="34" spans="1:8" ht="15.75">
      <c r="A34" s="2"/>
      <c r="B34" s="3"/>
      <c r="C34" s="61"/>
      <c r="D34" s="46" t="s">
        <v>181</v>
      </c>
      <c r="E34" s="22" t="s">
        <v>47</v>
      </c>
      <c r="F34" s="22" t="s">
        <v>136</v>
      </c>
      <c r="G34" s="24">
        <v>100000</v>
      </c>
      <c r="H34" s="47">
        <v>1000</v>
      </c>
    </row>
    <row r="35" spans="1:8" ht="15.75">
      <c r="A35" s="2"/>
      <c r="B35" s="3"/>
      <c r="C35" s="61"/>
      <c r="D35" s="14" t="s">
        <v>56</v>
      </c>
      <c r="E35" s="51" t="s">
        <v>47</v>
      </c>
      <c r="F35" s="51" t="s">
        <v>60</v>
      </c>
      <c r="G35" s="52">
        <f>50000+45000</f>
        <v>95000</v>
      </c>
      <c r="H35" s="53">
        <f>50000-2000-1000+45000</f>
        <v>92000</v>
      </c>
    </row>
    <row r="36" spans="1:8" ht="15.75">
      <c r="A36" s="2"/>
      <c r="B36" s="3"/>
      <c r="C36" s="61"/>
      <c r="D36" s="14" t="s">
        <v>94</v>
      </c>
      <c r="E36" s="51" t="s">
        <v>47</v>
      </c>
      <c r="F36" s="51" t="s">
        <v>75</v>
      </c>
      <c r="G36" s="52">
        <f>70000+20000</f>
        <v>90000</v>
      </c>
      <c r="H36" s="53">
        <f>69000+20000</f>
        <v>89000</v>
      </c>
    </row>
    <row r="37" spans="1:8" ht="25.5">
      <c r="A37" s="2"/>
      <c r="B37" s="3"/>
      <c r="C37" s="61"/>
      <c r="D37" s="14" t="s">
        <v>95</v>
      </c>
      <c r="E37" s="51" t="s">
        <v>47</v>
      </c>
      <c r="F37" s="51" t="s">
        <v>75</v>
      </c>
      <c r="G37" s="52">
        <v>45000</v>
      </c>
      <c r="H37" s="53">
        <v>44000</v>
      </c>
    </row>
    <row r="38" spans="1:8" ht="15.75">
      <c r="A38" s="2"/>
      <c r="B38" s="3"/>
      <c r="C38" s="61"/>
      <c r="D38" s="84" t="s">
        <v>53</v>
      </c>
      <c r="E38" s="56" t="s">
        <v>47</v>
      </c>
      <c r="F38" s="56" t="s">
        <v>60</v>
      </c>
      <c r="G38" s="121">
        <f>100000-35000+30000+100000</f>
        <v>195000</v>
      </c>
      <c r="H38" s="86">
        <f>50000-1000+100000</f>
        <v>149000</v>
      </c>
    </row>
    <row r="39" spans="1:8" ht="15.75" customHeight="1">
      <c r="A39" s="2"/>
      <c r="B39" s="3"/>
      <c r="C39" s="61"/>
      <c r="D39" s="46" t="s">
        <v>54</v>
      </c>
      <c r="E39" s="22" t="s">
        <v>47</v>
      </c>
      <c r="F39" s="22" t="s">
        <v>60</v>
      </c>
      <c r="G39" s="24">
        <f>100000+3000000</f>
        <v>3100000</v>
      </c>
      <c r="H39" s="47">
        <v>3000000</v>
      </c>
    </row>
    <row r="40" spans="1:8" ht="25.5">
      <c r="A40" s="2"/>
      <c r="B40" s="3"/>
      <c r="C40" s="61"/>
      <c r="D40" s="16" t="s">
        <v>96</v>
      </c>
      <c r="E40" s="71" t="s">
        <v>47</v>
      </c>
      <c r="F40" s="71" t="s">
        <v>91</v>
      </c>
      <c r="G40" s="114">
        <f>120000+1800000+200000</f>
        <v>2120000</v>
      </c>
      <c r="H40" s="50">
        <f>1800000-300000</f>
        <v>1500000</v>
      </c>
    </row>
    <row r="41" spans="1:8" ht="15.75">
      <c r="A41" s="2"/>
      <c r="B41" s="3"/>
      <c r="C41" s="61"/>
      <c r="D41" s="46" t="s">
        <v>55</v>
      </c>
      <c r="E41" s="22" t="s">
        <v>47</v>
      </c>
      <c r="F41" s="22" t="s">
        <v>60</v>
      </c>
      <c r="G41" s="24">
        <f>130000+500000-300000</f>
        <v>330000</v>
      </c>
      <c r="H41" s="47">
        <f>500000-300000</f>
        <v>200000</v>
      </c>
    </row>
    <row r="42" spans="1:8" ht="25.5">
      <c r="A42" s="2"/>
      <c r="B42" s="3"/>
      <c r="C42" s="61"/>
      <c r="D42" s="46" t="s">
        <v>73</v>
      </c>
      <c r="E42" s="22" t="s">
        <v>47</v>
      </c>
      <c r="F42" s="22" t="s">
        <v>75</v>
      </c>
      <c r="G42" s="69">
        <v>1600000</v>
      </c>
      <c r="H42" s="47">
        <v>200000</v>
      </c>
    </row>
    <row r="43" spans="1:8" ht="15.75">
      <c r="A43" s="2"/>
      <c r="B43" s="3"/>
      <c r="C43" s="61"/>
      <c r="D43" s="84" t="s">
        <v>74</v>
      </c>
      <c r="E43" s="56" t="s">
        <v>47</v>
      </c>
      <c r="F43" s="56" t="s">
        <v>75</v>
      </c>
      <c r="G43" s="85">
        <f>2500000+400000</f>
        <v>2900000</v>
      </c>
      <c r="H43" s="86">
        <f>2000000+900000</f>
        <v>2900000</v>
      </c>
    </row>
    <row r="44" spans="1:8" ht="24" customHeight="1">
      <c r="A44" s="2"/>
      <c r="B44" s="3"/>
      <c r="C44" s="61"/>
      <c r="D44" s="46" t="s">
        <v>79</v>
      </c>
      <c r="E44" s="22" t="s">
        <v>47</v>
      </c>
      <c r="F44" s="22" t="s">
        <v>75</v>
      </c>
      <c r="G44" s="69">
        <v>400000</v>
      </c>
      <c r="H44" s="47">
        <v>319000</v>
      </c>
    </row>
    <row r="45" spans="1:8" ht="15.75" customHeight="1">
      <c r="A45" s="2"/>
      <c r="B45" s="3"/>
      <c r="C45" s="61"/>
      <c r="D45" s="84" t="s">
        <v>97</v>
      </c>
      <c r="E45" s="51" t="s">
        <v>47</v>
      </c>
      <c r="F45" s="51" t="s">
        <v>75</v>
      </c>
      <c r="G45" s="52">
        <f>100000+15000</f>
        <v>115000</v>
      </c>
      <c r="H45" s="53">
        <f>99000+15000</f>
        <v>114000</v>
      </c>
    </row>
    <row r="46" spans="1:8" ht="15" customHeight="1">
      <c r="A46" s="2"/>
      <c r="B46" s="3"/>
      <c r="C46" s="61"/>
      <c r="D46" s="84" t="s">
        <v>131</v>
      </c>
      <c r="E46" s="51" t="s">
        <v>47</v>
      </c>
      <c r="F46" s="22">
        <v>2025</v>
      </c>
      <c r="G46" s="24">
        <f>100000+50000</f>
        <v>150000</v>
      </c>
      <c r="H46" s="47">
        <f>100000+50000</f>
        <v>150000</v>
      </c>
    </row>
    <row r="47" spans="1:8" ht="15.75" customHeight="1">
      <c r="A47" s="2"/>
      <c r="B47" s="3"/>
      <c r="C47" s="61"/>
      <c r="D47" s="84" t="s">
        <v>132</v>
      </c>
      <c r="E47" s="23" t="s">
        <v>47</v>
      </c>
      <c r="F47" s="22">
        <v>2025</v>
      </c>
      <c r="G47" s="24">
        <f>40000+20000</f>
        <v>60000</v>
      </c>
      <c r="H47" s="73">
        <f>40000+20000</f>
        <v>60000</v>
      </c>
    </row>
    <row r="48" spans="1:8" ht="15" customHeight="1">
      <c r="A48" s="2"/>
      <c r="B48" s="3"/>
      <c r="C48" s="61"/>
      <c r="D48" s="46" t="s">
        <v>52</v>
      </c>
      <c r="E48" s="22" t="s">
        <v>47</v>
      </c>
      <c r="F48" s="22" t="s">
        <v>91</v>
      </c>
      <c r="G48" s="24">
        <f>100000+2500000</f>
        <v>2600000</v>
      </c>
      <c r="H48" s="73">
        <v>500000</v>
      </c>
    </row>
    <row r="49" spans="1:8" ht="25.5" customHeight="1">
      <c r="A49" s="2"/>
      <c r="B49" s="3"/>
      <c r="C49" s="61"/>
      <c r="D49" s="14" t="s">
        <v>59</v>
      </c>
      <c r="E49" s="51" t="s">
        <v>47</v>
      </c>
      <c r="F49" s="51" t="s">
        <v>60</v>
      </c>
      <c r="G49" s="52">
        <f>12000000+200000</f>
        <v>12200000</v>
      </c>
      <c r="H49" s="53">
        <f>8100000+3875000+200000</f>
        <v>12175000</v>
      </c>
    </row>
    <row r="50" spans="1:8" ht="15.75">
      <c r="A50" s="2"/>
      <c r="B50" s="3"/>
      <c r="C50" s="61"/>
      <c r="D50" s="14" t="s">
        <v>98</v>
      </c>
      <c r="E50" s="51" t="s">
        <v>47</v>
      </c>
      <c r="F50" s="51" t="s">
        <v>60</v>
      </c>
      <c r="G50" s="52">
        <f>1000+499000+1000000+200000</f>
        <v>1700000</v>
      </c>
      <c r="H50" s="53">
        <f>1200000+300000</f>
        <v>1500000</v>
      </c>
    </row>
    <row r="51" spans="1:8" ht="15.75">
      <c r="A51" s="2"/>
      <c r="B51" s="3"/>
      <c r="C51" s="61"/>
      <c r="D51" s="14" t="s">
        <v>158</v>
      </c>
      <c r="E51" s="51" t="s">
        <v>47</v>
      </c>
      <c r="F51" s="51" t="s">
        <v>60</v>
      </c>
      <c r="G51" s="52">
        <f>1000+1999000+2000000+800000+500000</f>
        <v>5300000</v>
      </c>
      <c r="H51" s="53">
        <v>500000</v>
      </c>
    </row>
    <row r="52" spans="1:8" ht="14.25" customHeight="1">
      <c r="A52" s="2"/>
      <c r="B52" s="3"/>
      <c r="C52" s="61"/>
      <c r="D52" s="21" t="s">
        <v>76</v>
      </c>
      <c r="E52" s="55" t="s">
        <v>47</v>
      </c>
      <c r="F52" s="55" t="s">
        <v>75</v>
      </c>
      <c r="G52" s="87">
        <f>4000000+300000-200000</f>
        <v>4100000</v>
      </c>
      <c r="H52" s="54">
        <f>3300000-200000</f>
        <v>3100000</v>
      </c>
    </row>
    <row r="53" spans="1:8" ht="15.75">
      <c r="A53" s="2"/>
      <c r="B53" s="3"/>
      <c r="C53" s="61"/>
      <c r="D53" s="46" t="s">
        <v>99</v>
      </c>
      <c r="E53" s="22" t="s">
        <v>47</v>
      </c>
      <c r="F53" s="22" t="s">
        <v>105</v>
      </c>
      <c r="G53" s="24">
        <f>130000+2000000+15000</f>
        <v>2145000</v>
      </c>
      <c r="H53" s="47">
        <f>129000+15000</f>
        <v>144000</v>
      </c>
    </row>
    <row r="54" spans="1:8" ht="15.75" customHeight="1">
      <c r="A54" s="2"/>
      <c r="B54" s="3"/>
      <c r="C54" s="61"/>
      <c r="D54" s="46" t="s">
        <v>133</v>
      </c>
      <c r="E54" s="22" t="s">
        <v>47</v>
      </c>
      <c r="F54" s="22">
        <v>2025</v>
      </c>
      <c r="G54" s="24">
        <v>150000</v>
      </c>
      <c r="H54" s="47">
        <v>150000</v>
      </c>
    </row>
    <row r="55" spans="1:8" ht="15.75" customHeight="1">
      <c r="A55" s="2"/>
      <c r="B55" s="3"/>
      <c r="C55" s="61"/>
      <c r="D55" s="46" t="s">
        <v>177</v>
      </c>
      <c r="E55" s="22" t="s">
        <v>47</v>
      </c>
      <c r="F55" s="22">
        <v>2025</v>
      </c>
      <c r="G55" s="24">
        <v>2700000</v>
      </c>
      <c r="H55" s="47">
        <v>2700000</v>
      </c>
    </row>
    <row r="56" spans="1:8" ht="15.75" customHeight="1">
      <c r="A56" s="2"/>
      <c r="B56" s="3"/>
      <c r="C56" s="61"/>
      <c r="D56" s="46" t="s">
        <v>179</v>
      </c>
      <c r="E56" s="22" t="s">
        <v>47</v>
      </c>
      <c r="F56" s="22" t="s">
        <v>136</v>
      </c>
      <c r="G56" s="24">
        <v>5500000</v>
      </c>
      <c r="H56" s="47">
        <v>2000000</v>
      </c>
    </row>
    <row r="57" spans="1:8" ht="15.75" customHeight="1">
      <c r="A57" s="2"/>
      <c r="B57" s="3"/>
      <c r="C57" s="61"/>
      <c r="D57" s="46" t="s">
        <v>180</v>
      </c>
      <c r="E57" s="22" t="s">
        <v>47</v>
      </c>
      <c r="F57" s="22" t="s">
        <v>136</v>
      </c>
      <c r="G57" s="24">
        <v>100000</v>
      </c>
      <c r="H57" s="47">
        <v>1000</v>
      </c>
    </row>
    <row r="58" spans="1:8" ht="25.5">
      <c r="A58" s="2"/>
      <c r="B58" s="3"/>
      <c r="C58" s="61"/>
      <c r="D58" s="46" t="s">
        <v>183</v>
      </c>
      <c r="E58" s="22" t="s">
        <v>47</v>
      </c>
      <c r="F58" s="22" t="s">
        <v>136</v>
      </c>
      <c r="G58" s="24">
        <v>90000</v>
      </c>
      <c r="H58" s="47">
        <v>1000</v>
      </c>
    </row>
    <row r="59" spans="1:8" ht="38.25">
      <c r="A59" s="2"/>
      <c r="B59" s="19"/>
      <c r="C59" s="45"/>
      <c r="D59" s="46" t="s">
        <v>49</v>
      </c>
      <c r="E59" s="22" t="s">
        <v>47</v>
      </c>
      <c r="F59" s="22" t="s">
        <v>159</v>
      </c>
      <c r="G59" s="24">
        <v>5410000</v>
      </c>
      <c r="H59" s="47">
        <v>504000</v>
      </c>
    </row>
    <row r="60" spans="1:8" ht="25.5">
      <c r="A60" s="2"/>
      <c r="B60" s="3"/>
      <c r="C60" s="45"/>
      <c r="D60" s="46" t="s">
        <v>61</v>
      </c>
      <c r="E60" s="22" t="s">
        <v>47</v>
      </c>
      <c r="F60" s="22" t="s">
        <v>60</v>
      </c>
      <c r="G60" s="24">
        <f>100000+12000+35000</f>
        <v>147000</v>
      </c>
      <c r="H60" s="47">
        <f>100000-2000+12000-66000+35000</f>
        <v>79000</v>
      </c>
    </row>
    <row r="61" spans="1:8" ht="25.5">
      <c r="A61" s="2"/>
      <c r="B61" s="3"/>
      <c r="C61" s="45"/>
      <c r="D61" s="46" t="s">
        <v>134</v>
      </c>
      <c r="E61" s="22" t="s">
        <v>47</v>
      </c>
      <c r="F61" s="22">
        <v>2025</v>
      </c>
      <c r="G61" s="24">
        <f>100000+60000</f>
        <v>160000</v>
      </c>
      <c r="H61" s="47">
        <f>100000+60000</f>
        <v>160000</v>
      </c>
    </row>
    <row r="62" spans="1:8" ht="16.5" customHeight="1">
      <c r="A62" s="2"/>
      <c r="B62" s="3"/>
      <c r="C62" s="61"/>
      <c r="D62" s="46" t="s">
        <v>77</v>
      </c>
      <c r="E62" s="22" t="s">
        <v>47</v>
      </c>
      <c r="F62" s="22" t="s">
        <v>75</v>
      </c>
      <c r="G62" s="24">
        <f>250000+50000+30000</f>
        <v>330000</v>
      </c>
      <c r="H62" s="47">
        <f>50000+30000</f>
        <v>80000</v>
      </c>
    </row>
    <row r="63" spans="1:8" ht="17.25" customHeight="1">
      <c r="A63" s="2"/>
      <c r="B63" s="3"/>
      <c r="C63" s="61"/>
      <c r="D63" s="46" t="s">
        <v>62</v>
      </c>
      <c r="E63" s="22" t="s">
        <v>47</v>
      </c>
      <c r="F63" s="22" t="s">
        <v>60</v>
      </c>
      <c r="G63" s="24">
        <f>90000+35000+30000</f>
        <v>155000</v>
      </c>
      <c r="H63" s="47">
        <f>125000-2000-70000+30000</f>
        <v>83000</v>
      </c>
    </row>
    <row r="64" spans="1:8" ht="16.5" customHeight="1">
      <c r="A64" s="2"/>
      <c r="B64" s="3"/>
      <c r="C64" s="61"/>
      <c r="D64" s="21" t="s">
        <v>78</v>
      </c>
      <c r="E64" s="56" t="s">
        <v>47</v>
      </c>
      <c r="F64" s="55" t="s">
        <v>91</v>
      </c>
      <c r="G64" s="87">
        <v>2700000</v>
      </c>
      <c r="H64" s="54">
        <f>2193000-500000</f>
        <v>1693000</v>
      </c>
    </row>
    <row r="65" spans="1:8" ht="16.5" customHeight="1">
      <c r="A65" s="2"/>
      <c r="B65" s="3"/>
      <c r="C65" s="61"/>
      <c r="D65" s="21" t="s">
        <v>149</v>
      </c>
      <c r="E65" s="56" t="s">
        <v>47</v>
      </c>
      <c r="F65" s="51" t="s">
        <v>75</v>
      </c>
      <c r="G65" s="87">
        <f>100000+50000</f>
        <v>150000</v>
      </c>
      <c r="H65" s="54">
        <f>99000+50000</f>
        <v>149000</v>
      </c>
    </row>
    <row r="66" spans="1:8" ht="16.5" customHeight="1">
      <c r="A66" s="2"/>
      <c r="B66" s="3"/>
      <c r="C66" s="61"/>
      <c r="D66" s="21" t="s">
        <v>100</v>
      </c>
      <c r="E66" s="56" t="s">
        <v>47</v>
      </c>
      <c r="F66" s="51" t="s">
        <v>75</v>
      </c>
      <c r="G66" s="87">
        <f>80000+80000</f>
        <v>160000</v>
      </c>
      <c r="H66" s="54">
        <f>79000+80000</f>
        <v>159000</v>
      </c>
    </row>
    <row r="67" spans="1:8" ht="16.5" customHeight="1">
      <c r="A67" s="2"/>
      <c r="B67" s="3"/>
      <c r="C67" s="61"/>
      <c r="D67" s="84" t="s">
        <v>148</v>
      </c>
      <c r="E67" s="56" t="s">
        <v>47</v>
      </c>
      <c r="F67" s="56" t="s">
        <v>75</v>
      </c>
      <c r="G67" s="85">
        <v>80000</v>
      </c>
      <c r="H67" s="86">
        <v>79000</v>
      </c>
    </row>
    <row r="68" spans="1:8" ht="16.5" customHeight="1">
      <c r="A68" s="2"/>
      <c r="B68" s="3"/>
      <c r="C68" s="61"/>
      <c r="D68" s="21" t="s">
        <v>182</v>
      </c>
      <c r="E68" s="22" t="s">
        <v>47</v>
      </c>
      <c r="F68" s="22" t="s">
        <v>136</v>
      </c>
      <c r="G68" s="24">
        <v>90000</v>
      </c>
      <c r="H68" s="47">
        <v>1000</v>
      </c>
    </row>
    <row r="69" spans="1:8" ht="24" customHeight="1">
      <c r="A69" s="2"/>
      <c r="B69" s="3"/>
      <c r="C69" s="61"/>
      <c r="D69" s="14" t="s">
        <v>88</v>
      </c>
      <c r="E69" s="22" t="s">
        <v>47</v>
      </c>
      <c r="F69" s="51" t="s">
        <v>75</v>
      </c>
      <c r="G69" s="52">
        <f>410000+300000</f>
        <v>710000</v>
      </c>
      <c r="H69" s="53">
        <f>300000+300000</f>
        <v>600000</v>
      </c>
    </row>
    <row r="70" spans="1:8" ht="26.25" customHeight="1">
      <c r="A70" s="2"/>
      <c r="B70" s="3"/>
      <c r="C70" s="61"/>
      <c r="D70" s="14" t="s">
        <v>101</v>
      </c>
      <c r="E70" s="22" t="s">
        <v>47</v>
      </c>
      <c r="F70" s="51" t="s">
        <v>75</v>
      </c>
      <c r="G70" s="52">
        <v>600000</v>
      </c>
      <c r="H70" s="53">
        <v>570000</v>
      </c>
    </row>
    <row r="71" spans="1:8" ht="16.5" customHeight="1">
      <c r="A71" s="2"/>
      <c r="B71" s="3"/>
      <c r="C71" s="61"/>
      <c r="D71" s="14" t="s">
        <v>102</v>
      </c>
      <c r="E71" s="22" t="s">
        <v>47</v>
      </c>
      <c r="F71" s="51" t="s">
        <v>75</v>
      </c>
      <c r="G71" s="52">
        <f>20000+99000</f>
        <v>119000</v>
      </c>
      <c r="H71" s="73">
        <v>99000</v>
      </c>
    </row>
    <row r="72" spans="1:8" ht="16.5" customHeight="1">
      <c r="A72" s="31"/>
      <c r="B72" s="12">
        <v>60078</v>
      </c>
      <c r="C72" s="13"/>
      <c r="D72" s="14" t="s">
        <v>164</v>
      </c>
      <c r="E72" s="68"/>
      <c r="F72" s="68"/>
      <c r="G72" s="68"/>
      <c r="H72" s="140">
        <f t="shared" ref="H72" si="0">SUM(H73)</f>
        <v>50000</v>
      </c>
    </row>
    <row r="73" spans="1:8" ht="38.25">
      <c r="A73" s="31"/>
      <c r="B73" s="12"/>
      <c r="C73" s="13">
        <v>6300</v>
      </c>
      <c r="D73" s="14" t="s">
        <v>29</v>
      </c>
      <c r="E73" s="68"/>
      <c r="F73" s="122"/>
      <c r="G73" s="123"/>
      <c r="H73" s="97">
        <f>H74</f>
        <v>50000</v>
      </c>
    </row>
    <row r="74" spans="1:8" ht="25.5">
      <c r="A74" s="31"/>
      <c r="B74" s="12"/>
      <c r="C74" s="13"/>
      <c r="D74" s="14" t="s">
        <v>184</v>
      </c>
      <c r="E74" s="22" t="s">
        <v>47</v>
      </c>
      <c r="F74" s="22">
        <v>2025</v>
      </c>
      <c r="G74" s="122">
        <v>50000</v>
      </c>
      <c r="H74" s="97">
        <v>50000</v>
      </c>
    </row>
    <row r="75" spans="1:8" ht="15.75">
      <c r="A75" s="31">
        <v>700</v>
      </c>
      <c r="B75" s="12"/>
      <c r="C75" s="13"/>
      <c r="D75" s="14" t="s">
        <v>9</v>
      </c>
      <c r="E75" s="5"/>
      <c r="F75" s="5"/>
      <c r="G75" s="5"/>
      <c r="H75" s="57">
        <f>H76+H82+H88</f>
        <v>14939000</v>
      </c>
    </row>
    <row r="76" spans="1:8">
      <c r="A76" s="31"/>
      <c r="B76" s="12">
        <v>70005</v>
      </c>
      <c r="C76" s="13"/>
      <c r="D76" s="14" t="s">
        <v>10</v>
      </c>
      <c r="E76" s="14"/>
      <c r="F76" s="14"/>
      <c r="G76" s="14"/>
      <c r="H76" s="57">
        <f>H77+H80</f>
        <v>12080000</v>
      </c>
    </row>
    <row r="77" spans="1:8">
      <c r="A77" s="31"/>
      <c r="B77" s="12"/>
      <c r="C77" s="13">
        <v>6050</v>
      </c>
      <c r="D77" s="14" t="s">
        <v>28</v>
      </c>
      <c r="E77" s="79"/>
      <c r="F77" s="79"/>
      <c r="G77" s="79"/>
      <c r="H77" s="53">
        <f>SUM(H78:H79)</f>
        <v>3080000</v>
      </c>
    </row>
    <row r="78" spans="1:8" ht="25.5">
      <c r="A78" s="31"/>
      <c r="B78" s="12"/>
      <c r="C78" s="17"/>
      <c r="D78" s="89" t="s">
        <v>121</v>
      </c>
      <c r="E78" s="51" t="s">
        <v>47</v>
      </c>
      <c r="F78" s="51" t="s">
        <v>135</v>
      </c>
      <c r="G78" s="52">
        <v>20000000</v>
      </c>
      <c r="H78" s="53">
        <v>3000000</v>
      </c>
    </row>
    <row r="79" spans="1:8" ht="25.5">
      <c r="A79" s="31"/>
      <c r="B79" s="12"/>
      <c r="C79" s="17"/>
      <c r="D79" s="124" t="s">
        <v>176</v>
      </c>
      <c r="E79" s="58" t="s">
        <v>47</v>
      </c>
      <c r="F79" s="58">
        <v>2025</v>
      </c>
      <c r="G79" s="59">
        <v>80000</v>
      </c>
      <c r="H79" s="60">
        <v>80000</v>
      </c>
    </row>
    <row r="80" spans="1:8" ht="15" customHeight="1">
      <c r="A80" s="31"/>
      <c r="B80" s="12"/>
      <c r="C80" s="13">
        <v>6060</v>
      </c>
      <c r="D80" s="14" t="s">
        <v>30</v>
      </c>
      <c r="E80" s="51"/>
      <c r="F80" s="51"/>
      <c r="G80" s="52"/>
      <c r="H80" s="53">
        <f>H81</f>
        <v>9000000</v>
      </c>
    </row>
    <row r="81" spans="1:8" ht="12.75" customHeight="1">
      <c r="A81" s="2"/>
      <c r="B81" s="3"/>
      <c r="C81" s="45"/>
      <c r="D81" s="125" t="s">
        <v>63</v>
      </c>
      <c r="E81" s="22" t="s">
        <v>47</v>
      </c>
      <c r="F81" s="22" t="s">
        <v>80</v>
      </c>
      <c r="G81" s="24">
        <f>44759460+1350000+3541693+6000000+300000+300000+4000000+1000000</f>
        <v>61251153</v>
      </c>
      <c r="H81" s="47">
        <f>5000000+4000000</f>
        <v>9000000</v>
      </c>
    </row>
    <row r="82" spans="1:8">
      <c r="A82" s="31"/>
      <c r="B82" s="12">
        <v>70007</v>
      </c>
      <c r="C82" s="13"/>
      <c r="D82" s="14" t="s">
        <v>11</v>
      </c>
      <c r="E82" s="14"/>
      <c r="F82" s="14"/>
      <c r="G82" s="14"/>
      <c r="H82" s="57">
        <f>H83</f>
        <v>1159000</v>
      </c>
    </row>
    <row r="83" spans="1:8">
      <c r="A83" s="31"/>
      <c r="B83" s="12"/>
      <c r="C83" s="13">
        <v>6050</v>
      </c>
      <c r="D83" s="21" t="s">
        <v>28</v>
      </c>
      <c r="E83" s="55"/>
      <c r="F83" s="55"/>
      <c r="G83" s="87"/>
      <c r="H83" s="54">
        <f>SUM(H84:H87)</f>
        <v>1159000</v>
      </c>
    </row>
    <row r="84" spans="1:8" ht="27" customHeight="1">
      <c r="A84" s="31"/>
      <c r="B84" s="12"/>
      <c r="C84" s="13"/>
      <c r="D84" s="21" t="s">
        <v>83</v>
      </c>
      <c r="E84" s="56" t="s">
        <v>47</v>
      </c>
      <c r="F84" s="55" t="s">
        <v>75</v>
      </c>
      <c r="G84" s="87">
        <f>70000+80000</f>
        <v>150000</v>
      </c>
      <c r="H84" s="54">
        <v>149000</v>
      </c>
    </row>
    <row r="85" spans="1:8">
      <c r="A85" s="31"/>
      <c r="B85" s="12"/>
      <c r="C85" s="13"/>
      <c r="D85" s="21" t="s">
        <v>122</v>
      </c>
      <c r="E85" s="56" t="s">
        <v>47</v>
      </c>
      <c r="F85" s="55" t="s">
        <v>136</v>
      </c>
      <c r="G85" s="87">
        <v>800000</v>
      </c>
      <c r="H85" s="54">
        <v>600000</v>
      </c>
    </row>
    <row r="86" spans="1:8" ht="27" customHeight="1">
      <c r="A86" s="31"/>
      <c r="B86" s="12"/>
      <c r="C86" s="13"/>
      <c r="D86" s="21" t="s">
        <v>175</v>
      </c>
      <c r="E86" s="56" t="s">
        <v>47</v>
      </c>
      <c r="F86" s="55" t="s">
        <v>137</v>
      </c>
      <c r="G86" s="87">
        <v>5000000</v>
      </c>
      <c r="H86" s="54">
        <v>160000</v>
      </c>
    </row>
    <row r="87" spans="1:8">
      <c r="A87" s="31"/>
      <c r="B87" s="12"/>
      <c r="C87" s="13"/>
      <c r="D87" s="21" t="s">
        <v>123</v>
      </c>
      <c r="E87" s="56" t="s">
        <v>47</v>
      </c>
      <c r="F87" s="55">
        <v>2025</v>
      </c>
      <c r="G87" s="87">
        <v>250000</v>
      </c>
      <c r="H87" s="54">
        <v>250000</v>
      </c>
    </row>
    <row r="88" spans="1:8">
      <c r="A88" s="31"/>
      <c r="B88" s="12">
        <v>70095</v>
      </c>
      <c r="C88" s="13"/>
      <c r="D88" s="14" t="s">
        <v>5</v>
      </c>
      <c r="E88" s="14"/>
      <c r="F88" s="14"/>
      <c r="G88" s="14"/>
      <c r="H88" s="57">
        <f>H89</f>
        <v>1700000</v>
      </c>
    </row>
    <row r="89" spans="1:8">
      <c r="A89" s="31"/>
      <c r="B89" s="12"/>
      <c r="C89" s="13">
        <v>6050</v>
      </c>
      <c r="D89" s="14" t="s">
        <v>28</v>
      </c>
      <c r="E89" s="79"/>
      <c r="F89" s="79"/>
      <c r="G89" s="79"/>
      <c r="H89" s="53">
        <f>H90</f>
        <v>1700000</v>
      </c>
    </row>
    <row r="90" spans="1:8" ht="14.25" customHeight="1">
      <c r="A90" s="2"/>
      <c r="B90" s="3"/>
      <c r="C90" s="45"/>
      <c r="D90" s="46" t="s">
        <v>64</v>
      </c>
      <c r="E90" s="22" t="s">
        <v>47</v>
      </c>
      <c r="F90" s="22" t="s">
        <v>51</v>
      </c>
      <c r="G90" s="24">
        <f>4500000+500000</f>
        <v>5000000</v>
      </c>
      <c r="H90" s="47">
        <v>1700000</v>
      </c>
    </row>
    <row r="91" spans="1:8">
      <c r="A91" s="31">
        <v>710</v>
      </c>
      <c r="B91" s="12"/>
      <c r="C91" s="13"/>
      <c r="D91" s="14" t="s">
        <v>12</v>
      </c>
      <c r="E91" s="14"/>
      <c r="F91" s="14"/>
      <c r="G91" s="14"/>
      <c r="H91" s="57">
        <f>H92+H95</f>
        <v>750000</v>
      </c>
    </row>
    <row r="92" spans="1:8">
      <c r="A92" s="31"/>
      <c r="B92" s="12">
        <v>71004</v>
      </c>
      <c r="C92" s="13"/>
      <c r="D92" s="14" t="s">
        <v>31</v>
      </c>
      <c r="E92" s="14"/>
      <c r="F92" s="14"/>
      <c r="G92" s="14"/>
      <c r="H92" s="57">
        <f>H93</f>
        <v>590000</v>
      </c>
    </row>
    <row r="93" spans="1:8">
      <c r="A93" s="31"/>
      <c r="B93" s="12"/>
      <c r="C93" s="13">
        <v>6050</v>
      </c>
      <c r="D93" s="14" t="s">
        <v>28</v>
      </c>
      <c r="E93" s="51"/>
      <c r="F93" s="51"/>
      <c r="G93" s="52"/>
      <c r="H93" s="53">
        <f>H94</f>
        <v>590000</v>
      </c>
    </row>
    <row r="94" spans="1:8" ht="24.75" customHeight="1">
      <c r="A94" s="2"/>
      <c r="B94" s="3"/>
      <c r="C94" s="61"/>
      <c r="D94" s="14" t="s">
        <v>65</v>
      </c>
      <c r="E94" s="58" t="s">
        <v>47</v>
      </c>
      <c r="F94" s="58" t="s">
        <v>160</v>
      </c>
      <c r="G94" s="59">
        <f>2026034+340000+190000+100000+100000</f>
        <v>2756034</v>
      </c>
      <c r="H94" s="141">
        <v>590000</v>
      </c>
    </row>
    <row r="95" spans="1:8" ht="15.75">
      <c r="A95" s="2"/>
      <c r="B95" s="12">
        <v>71035</v>
      </c>
      <c r="C95" s="13"/>
      <c r="D95" s="14" t="s">
        <v>162</v>
      </c>
      <c r="E95" s="68"/>
      <c r="F95" s="68"/>
      <c r="G95" s="68"/>
      <c r="H95" s="140">
        <f t="shared" ref="H95" si="1">SUM(H96)</f>
        <v>160000</v>
      </c>
    </row>
    <row r="96" spans="1:8" ht="15.75">
      <c r="A96" s="2"/>
      <c r="B96" s="12"/>
      <c r="C96" s="13">
        <v>6050</v>
      </c>
      <c r="D96" s="14" t="s">
        <v>28</v>
      </c>
      <c r="E96" s="68"/>
      <c r="F96" s="123"/>
      <c r="G96" s="123"/>
      <c r="H96" s="97">
        <f>SUM(H97)</f>
        <v>160000</v>
      </c>
    </row>
    <row r="97" spans="1:8" ht="15.75">
      <c r="A97" s="2"/>
      <c r="B97" s="3"/>
      <c r="C97" s="61"/>
      <c r="D97" s="14" t="s">
        <v>187</v>
      </c>
      <c r="E97" s="58" t="s">
        <v>47</v>
      </c>
      <c r="F97" s="58" t="s">
        <v>136</v>
      </c>
      <c r="G97" s="59">
        <v>2000000</v>
      </c>
      <c r="H97" s="60">
        <v>160000</v>
      </c>
    </row>
    <row r="98" spans="1:8">
      <c r="A98" s="31">
        <v>720</v>
      </c>
      <c r="B98" s="12"/>
      <c r="C98" s="13"/>
      <c r="D98" s="14" t="s">
        <v>144</v>
      </c>
      <c r="E98" s="14"/>
      <c r="F98" s="14"/>
      <c r="G98" s="14"/>
      <c r="H98" s="57">
        <f>H99</f>
        <v>482656</v>
      </c>
    </row>
    <row r="99" spans="1:8">
      <c r="A99" s="31"/>
      <c r="B99" s="12">
        <v>72095</v>
      </c>
      <c r="C99" s="13"/>
      <c r="D99" s="14" t="s">
        <v>5</v>
      </c>
      <c r="E99" s="14"/>
      <c r="F99" s="14"/>
      <c r="G99" s="14"/>
      <c r="H99" s="57">
        <f>H100+H102</f>
        <v>482656</v>
      </c>
    </row>
    <row r="100" spans="1:8" ht="15.75">
      <c r="A100" s="2"/>
      <c r="B100" s="3"/>
      <c r="C100" s="13">
        <v>6067</v>
      </c>
      <c r="D100" s="14" t="s">
        <v>30</v>
      </c>
      <c r="E100" s="39"/>
      <c r="F100" s="25"/>
      <c r="G100" s="26"/>
      <c r="H100" s="40">
        <f>H101</f>
        <v>360833.63</v>
      </c>
    </row>
    <row r="101" spans="1:8" ht="24.75" customHeight="1">
      <c r="A101" s="2"/>
      <c r="B101" s="3"/>
      <c r="C101" s="13"/>
      <c r="D101" s="21" t="s">
        <v>84</v>
      </c>
      <c r="E101" s="28" t="s">
        <v>47</v>
      </c>
      <c r="F101" s="27" t="s">
        <v>111</v>
      </c>
      <c r="G101" s="126">
        <v>721667.26</v>
      </c>
      <c r="H101" s="41">
        <f>264775+96058.63</f>
        <v>360833.63</v>
      </c>
    </row>
    <row r="102" spans="1:8" ht="15.75">
      <c r="A102" s="2"/>
      <c r="B102" s="3"/>
      <c r="C102" s="13">
        <v>6069</v>
      </c>
      <c r="D102" s="21" t="s">
        <v>30</v>
      </c>
      <c r="E102" s="42"/>
      <c r="F102" s="127"/>
      <c r="G102" s="29"/>
      <c r="H102" s="41">
        <f>H103</f>
        <v>121822.37</v>
      </c>
    </row>
    <row r="103" spans="1:8" ht="24.75" customHeight="1">
      <c r="A103" s="2"/>
      <c r="B103" s="3"/>
      <c r="C103" s="61"/>
      <c r="D103" s="21" t="s">
        <v>89</v>
      </c>
      <c r="E103" s="30" t="s">
        <v>47</v>
      </c>
      <c r="F103" s="27" t="s">
        <v>111</v>
      </c>
      <c r="G103" s="128">
        <v>243644.74</v>
      </c>
      <c r="H103" s="43">
        <f>32725+26193+62904.37</f>
        <v>121822.37</v>
      </c>
    </row>
    <row r="104" spans="1:8">
      <c r="A104" s="31">
        <v>750</v>
      </c>
      <c r="B104" s="12"/>
      <c r="C104" s="13"/>
      <c r="D104" s="14" t="s">
        <v>13</v>
      </c>
      <c r="E104" s="14"/>
      <c r="F104" s="14"/>
      <c r="G104" s="14"/>
      <c r="H104" s="37">
        <f>H105+H109</f>
        <v>2368326</v>
      </c>
    </row>
    <row r="105" spans="1:8">
      <c r="A105" s="31"/>
      <c r="B105" s="12">
        <v>75023</v>
      </c>
      <c r="C105" s="13"/>
      <c r="D105" s="14" t="s">
        <v>14</v>
      </c>
      <c r="E105" s="14"/>
      <c r="F105" s="14"/>
      <c r="G105" s="14"/>
      <c r="H105" s="37">
        <f>H106</f>
        <v>380000</v>
      </c>
    </row>
    <row r="106" spans="1:8">
      <c r="A106" s="31"/>
      <c r="B106" s="12"/>
      <c r="C106" s="13">
        <v>6050</v>
      </c>
      <c r="D106" s="14" t="s">
        <v>28</v>
      </c>
      <c r="E106" s="58"/>
      <c r="F106" s="58"/>
      <c r="G106" s="59"/>
      <c r="H106" s="94">
        <f>SUM(H107:H108)</f>
        <v>380000</v>
      </c>
    </row>
    <row r="107" spans="1:8" ht="25.5">
      <c r="A107" s="31"/>
      <c r="B107" s="12"/>
      <c r="C107" s="17"/>
      <c r="D107" s="124" t="s">
        <v>174</v>
      </c>
      <c r="E107" s="58" t="s">
        <v>47</v>
      </c>
      <c r="F107" s="58">
        <v>2025</v>
      </c>
      <c r="G107" s="59">
        <v>80000</v>
      </c>
      <c r="H107" s="60">
        <v>80000</v>
      </c>
    </row>
    <row r="108" spans="1:8" ht="15.75">
      <c r="A108" s="2"/>
      <c r="B108" s="3"/>
      <c r="C108" s="61"/>
      <c r="D108" s="105" t="s">
        <v>124</v>
      </c>
      <c r="E108" s="58" t="s">
        <v>47</v>
      </c>
      <c r="F108" s="58">
        <v>2025</v>
      </c>
      <c r="G108" s="59">
        <v>300000</v>
      </c>
      <c r="H108" s="60">
        <v>300000</v>
      </c>
    </row>
    <row r="109" spans="1:8">
      <c r="A109" s="31"/>
      <c r="B109" s="12">
        <v>75095</v>
      </c>
      <c r="C109" s="13"/>
      <c r="D109" s="14" t="s">
        <v>5</v>
      </c>
      <c r="E109" s="14"/>
      <c r="F109" s="14"/>
      <c r="G109" s="14"/>
      <c r="H109" s="37">
        <f>H110+H112</f>
        <v>1988326</v>
      </c>
    </row>
    <row r="110" spans="1:8" ht="15.75" customHeight="1">
      <c r="A110" s="2"/>
      <c r="B110" s="3"/>
      <c r="C110" s="13">
        <v>6067</v>
      </c>
      <c r="D110" s="14" t="s">
        <v>30</v>
      </c>
      <c r="E110" s="30"/>
      <c r="F110" s="30"/>
      <c r="G110" s="7"/>
      <c r="H110" s="107">
        <f>H111</f>
        <v>1391828</v>
      </c>
    </row>
    <row r="111" spans="1:8" ht="24.75" customHeight="1">
      <c r="A111" s="2"/>
      <c r="B111" s="3"/>
      <c r="C111" s="13"/>
      <c r="D111" s="21" t="s">
        <v>103</v>
      </c>
      <c r="E111" s="30" t="s">
        <v>47</v>
      </c>
      <c r="F111" s="30" t="s">
        <v>111</v>
      </c>
      <c r="G111" s="29">
        <f>2438800+212000-280479-798</f>
        <v>2369523</v>
      </c>
      <c r="H111" s="41">
        <v>1391828</v>
      </c>
    </row>
    <row r="112" spans="1:8" ht="15.75">
      <c r="A112" s="2"/>
      <c r="B112" s="3"/>
      <c r="C112" s="13">
        <v>6069</v>
      </c>
      <c r="D112" s="21" t="s">
        <v>30</v>
      </c>
      <c r="E112" s="42"/>
      <c r="F112" s="30"/>
      <c r="G112" s="104"/>
      <c r="H112" s="43">
        <f>SUM(H113:H113)</f>
        <v>596498</v>
      </c>
    </row>
    <row r="113" spans="1:8" ht="27" customHeight="1">
      <c r="A113" s="2"/>
      <c r="B113" s="3"/>
      <c r="C113" s="13"/>
      <c r="D113" s="21" t="s">
        <v>103</v>
      </c>
      <c r="E113" s="30" t="s">
        <v>47</v>
      </c>
      <c r="F113" s="30" t="s">
        <v>111</v>
      </c>
      <c r="G113" s="102">
        <f>1045200+7000+83800-120489</f>
        <v>1015511</v>
      </c>
      <c r="H113" s="44">
        <v>596498</v>
      </c>
    </row>
    <row r="114" spans="1:8" ht="16.5" customHeight="1">
      <c r="A114" s="31">
        <v>754</v>
      </c>
      <c r="B114" s="12"/>
      <c r="C114" s="13"/>
      <c r="D114" s="14" t="s">
        <v>15</v>
      </c>
      <c r="E114" s="14"/>
      <c r="F114" s="14"/>
      <c r="G114" s="14"/>
      <c r="H114" s="57">
        <f>H118+H121+H124+H115</f>
        <v>1810000</v>
      </c>
    </row>
    <row r="115" spans="1:8" ht="16.5" customHeight="1">
      <c r="A115" s="31"/>
      <c r="B115" s="12">
        <v>75404</v>
      </c>
      <c r="C115" s="13"/>
      <c r="D115" s="14" t="s">
        <v>147</v>
      </c>
      <c r="E115" s="68">
        <f>SUM(E116)</f>
        <v>0</v>
      </c>
      <c r="F115" s="68">
        <f t="shared" ref="F115:H115" si="2">SUM(F116)</f>
        <v>0</v>
      </c>
      <c r="G115" s="68">
        <f t="shared" si="2"/>
        <v>0</v>
      </c>
      <c r="H115" s="140">
        <f t="shared" si="2"/>
        <v>110000</v>
      </c>
    </row>
    <row r="116" spans="1:8" ht="25.5">
      <c r="A116" s="31"/>
      <c r="B116" s="12"/>
      <c r="C116" s="100">
        <v>6170</v>
      </c>
      <c r="D116" s="101" t="s">
        <v>163</v>
      </c>
      <c r="E116" s="68"/>
      <c r="F116" s="142"/>
      <c r="G116" s="68"/>
      <c r="H116" s="140">
        <f>H117</f>
        <v>110000</v>
      </c>
    </row>
    <row r="117" spans="1:8" ht="16.5" customHeight="1">
      <c r="A117" s="31"/>
      <c r="B117" s="12"/>
      <c r="C117" s="13"/>
      <c r="D117" s="14"/>
      <c r="E117" s="58" t="s">
        <v>47</v>
      </c>
      <c r="F117" s="58">
        <v>2025</v>
      </c>
      <c r="G117" s="80">
        <v>110000</v>
      </c>
      <c r="H117" s="57">
        <v>110000</v>
      </c>
    </row>
    <row r="118" spans="1:8">
      <c r="A118" s="31"/>
      <c r="B118" s="12">
        <v>75414</v>
      </c>
      <c r="C118" s="13"/>
      <c r="D118" s="14" t="s">
        <v>32</v>
      </c>
      <c r="E118" s="14"/>
      <c r="F118" s="14"/>
      <c r="G118" s="14"/>
      <c r="H118" s="57">
        <f>H119</f>
        <v>20000</v>
      </c>
    </row>
    <row r="119" spans="1:8" ht="13.5" customHeight="1">
      <c r="A119" s="31"/>
      <c r="B119" s="12"/>
      <c r="C119" s="13">
        <v>6060</v>
      </c>
      <c r="D119" s="14" t="s">
        <v>30</v>
      </c>
      <c r="E119" s="25"/>
      <c r="F119" s="25"/>
      <c r="G119" s="26"/>
      <c r="H119" s="88">
        <f>H120</f>
        <v>20000</v>
      </c>
    </row>
    <row r="120" spans="1:8" ht="14.25" customHeight="1">
      <c r="A120" s="2"/>
      <c r="B120" s="3"/>
      <c r="C120" s="61"/>
      <c r="D120" s="46" t="s">
        <v>66</v>
      </c>
      <c r="E120" s="63" t="s">
        <v>47</v>
      </c>
      <c r="F120" s="63">
        <v>2025</v>
      </c>
      <c r="G120" s="66">
        <v>20000</v>
      </c>
      <c r="H120" s="67">
        <v>20000</v>
      </c>
    </row>
    <row r="121" spans="1:8">
      <c r="A121" s="31"/>
      <c r="B121" s="12">
        <v>75416</v>
      </c>
      <c r="C121" s="13"/>
      <c r="D121" s="14" t="s">
        <v>16</v>
      </c>
      <c r="E121" s="14"/>
      <c r="F121" s="14"/>
      <c r="G121" s="14"/>
      <c r="H121" s="57">
        <f>H122</f>
        <v>80000</v>
      </c>
    </row>
    <row r="122" spans="1:8" ht="15.75" customHeight="1">
      <c r="A122" s="31"/>
      <c r="B122" s="12"/>
      <c r="C122" s="13">
        <v>6060</v>
      </c>
      <c r="D122" s="14" t="s">
        <v>30</v>
      </c>
      <c r="E122" s="58"/>
      <c r="F122" s="58"/>
      <c r="G122" s="59"/>
      <c r="H122" s="62">
        <f>H123</f>
        <v>80000</v>
      </c>
    </row>
    <row r="123" spans="1:8" ht="13.5" customHeight="1">
      <c r="A123" s="31"/>
      <c r="B123" s="12"/>
      <c r="C123" s="13"/>
      <c r="D123" s="14" t="s">
        <v>156</v>
      </c>
      <c r="E123" s="63" t="s">
        <v>47</v>
      </c>
      <c r="F123" s="63">
        <v>2025</v>
      </c>
      <c r="G123" s="59">
        <v>80000</v>
      </c>
      <c r="H123" s="62">
        <v>80000</v>
      </c>
    </row>
    <row r="124" spans="1:8" ht="16.5" customHeight="1">
      <c r="A124" s="31"/>
      <c r="B124" s="12">
        <v>75495</v>
      </c>
      <c r="C124" s="13"/>
      <c r="D124" s="14" t="s">
        <v>5</v>
      </c>
      <c r="E124" s="14"/>
      <c r="F124" s="14"/>
      <c r="G124" s="14"/>
      <c r="H124" s="57">
        <f>H125</f>
        <v>1600000</v>
      </c>
    </row>
    <row r="125" spans="1:8">
      <c r="A125" s="31"/>
      <c r="B125" s="12"/>
      <c r="C125" s="13">
        <v>6050</v>
      </c>
      <c r="D125" s="14" t="s">
        <v>28</v>
      </c>
      <c r="E125" s="58"/>
      <c r="F125" s="58"/>
      <c r="G125" s="59"/>
      <c r="H125" s="62">
        <f>SUM(H126:H127)</f>
        <v>1600000</v>
      </c>
    </row>
    <row r="126" spans="1:8" ht="15.75">
      <c r="A126" s="2"/>
      <c r="B126" s="3"/>
      <c r="C126" s="61"/>
      <c r="D126" s="14" t="s">
        <v>67</v>
      </c>
      <c r="E126" s="58" t="s">
        <v>47</v>
      </c>
      <c r="F126" s="58" t="s">
        <v>68</v>
      </c>
      <c r="G126" s="59">
        <f>5000000+239000+800000</f>
        <v>6039000</v>
      </c>
      <c r="H126" s="62">
        <f>261000+239000+800000</f>
        <v>1300000</v>
      </c>
    </row>
    <row r="127" spans="1:8" ht="25.5">
      <c r="A127" s="2"/>
      <c r="B127" s="3"/>
      <c r="C127" s="61"/>
      <c r="D127" s="14" t="s">
        <v>104</v>
      </c>
      <c r="E127" s="58" t="s">
        <v>47</v>
      </c>
      <c r="F127" s="58" t="s">
        <v>105</v>
      </c>
      <c r="G127" s="59">
        <v>10000000</v>
      </c>
      <c r="H127" s="62">
        <v>300000</v>
      </c>
    </row>
    <row r="128" spans="1:8">
      <c r="A128" s="31">
        <v>801</v>
      </c>
      <c r="B128" s="12"/>
      <c r="C128" s="13"/>
      <c r="D128" s="14" t="s">
        <v>17</v>
      </c>
      <c r="E128" s="14"/>
      <c r="F128" s="14"/>
      <c r="G128" s="14"/>
      <c r="H128" s="57">
        <f>H129+H141</f>
        <v>6839000</v>
      </c>
    </row>
    <row r="129" spans="1:8">
      <c r="A129" s="31"/>
      <c r="B129" s="12">
        <v>80101</v>
      </c>
      <c r="C129" s="13"/>
      <c r="D129" s="14" t="s">
        <v>18</v>
      </c>
      <c r="E129" s="14"/>
      <c r="F129" s="14"/>
      <c r="G129" s="14"/>
      <c r="H129" s="57">
        <f>H130+H138+H136</f>
        <v>6089000</v>
      </c>
    </row>
    <row r="130" spans="1:8" ht="15.75" customHeight="1">
      <c r="A130" s="31"/>
      <c r="B130" s="12"/>
      <c r="C130" s="13">
        <v>6050</v>
      </c>
      <c r="D130" s="14" t="s">
        <v>28</v>
      </c>
      <c r="E130" s="90"/>
      <c r="F130" s="58"/>
      <c r="G130" s="59"/>
      <c r="H130" s="62">
        <f>SUM(H131:H135)</f>
        <v>4499000</v>
      </c>
    </row>
    <row r="131" spans="1:8" ht="24" customHeight="1">
      <c r="A131" s="2"/>
      <c r="B131" s="19"/>
      <c r="C131" s="20"/>
      <c r="D131" s="65" t="s">
        <v>126</v>
      </c>
      <c r="E131" s="22" t="s">
        <v>47</v>
      </c>
      <c r="F131" s="63" t="s">
        <v>75</v>
      </c>
      <c r="G131" s="66">
        <v>2500000</v>
      </c>
      <c r="H131" s="67">
        <f>2500000-20000</f>
        <v>2480000</v>
      </c>
    </row>
    <row r="132" spans="1:8" ht="15.75">
      <c r="A132" s="2"/>
      <c r="B132" s="3"/>
      <c r="C132" s="4"/>
      <c r="D132" s="65" t="s">
        <v>152</v>
      </c>
      <c r="E132" s="22" t="s">
        <v>47</v>
      </c>
      <c r="F132" s="22">
        <v>2025</v>
      </c>
      <c r="G132" s="66">
        <v>100000</v>
      </c>
      <c r="H132" s="67">
        <v>100000</v>
      </c>
    </row>
    <row r="133" spans="1:8" ht="15.75" customHeight="1">
      <c r="A133" s="2"/>
      <c r="B133" s="3"/>
      <c r="C133" s="4"/>
      <c r="D133" s="65" t="s">
        <v>81</v>
      </c>
      <c r="E133" s="22" t="s">
        <v>47</v>
      </c>
      <c r="F133" s="22">
        <v>2025</v>
      </c>
      <c r="G133" s="66">
        <v>1040000</v>
      </c>
      <c r="H133" s="67">
        <f>1200000-60000-100000</f>
        <v>1040000</v>
      </c>
    </row>
    <row r="134" spans="1:8" ht="15.75" customHeight="1">
      <c r="A134" s="2"/>
      <c r="B134" s="3"/>
      <c r="C134" s="4"/>
      <c r="D134" s="46" t="s">
        <v>145</v>
      </c>
      <c r="E134" s="22" t="s">
        <v>47</v>
      </c>
      <c r="F134" s="42" t="s">
        <v>157</v>
      </c>
      <c r="G134" s="64">
        <f>43850000+1400000-470000-935420+23000+50000</f>
        <v>43917580</v>
      </c>
      <c r="H134" s="103">
        <f>3000+50000</f>
        <v>53000</v>
      </c>
    </row>
    <row r="135" spans="1:8" ht="15" customHeight="1">
      <c r="A135" s="2"/>
      <c r="B135" s="3"/>
      <c r="C135" s="4"/>
      <c r="D135" s="46" t="s">
        <v>106</v>
      </c>
      <c r="E135" s="22" t="s">
        <v>47</v>
      </c>
      <c r="F135" s="27" t="s">
        <v>111</v>
      </c>
      <c r="G135" s="64">
        <f>2000000-23000</f>
        <v>1977000</v>
      </c>
      <c r="H135" s="118">
        <f>999000-170000+20000-23000</f>
        <v>826000</v>
      </c>
    </row>
    <row r="136" spans="1:8" ht="38.25">
      <c r="A136" s="2"/>
      <c r="B136" s="3"/>
      <c r="C136" s="13">
        <v>6370</v>
      </c>
      <c r="D136" s="14" t="s">
        <v>40</v>
      </c>
      <c r="E136" s="51"/>
      <c r="F136" s="30"/>
      <c r="G136" s="102"/>
      <c r="H136" s="103">
        <f>H137</f>
        <v>190000</v>
      </c>
    </row>
    <row r="137" spans="1:8" ht="15" customHeight="1">
      <c r="A137" s="2"/>
      <c r="B137" s="3"/>
      <c r="C137" s="4"/>
      <c r="D137" s="46" t="s">
        <v>145</v>
      </c>
      <c r="E137" s="22" t="s">
        <v>47</v>
      </c>
      <c r="F137" s="42" t="s">
        <v>157</v>
      </c>
      <c r="G137" s="64">
        <f>43850000+1400000-470000-935420+23000+50000</f>
        <v>43917580</v>
      </c>
      <c r="H137" s="103">
        <f>170000+20000</f>
        <v>190000</v>
      </c>
    </row>
    <row r="138" spans="1:8" ht="27" customHeight="1">
      <c r="A138" s="2"/>
      <c r="B138" s="3"/>
      <c r="C138" s="13">
        <v>6580</v>
      </c>
      <c r="D138" s="14" t="s">
        <v>107</v>
      </c>
      <c r="E138" s="51"/>
      <c r="F138" s="51"/>
      <c r="G138" s="91"/>
      <c r="H138" s="62">
        <f>SUM(H139:H140)</f>
        <v>1400000</v>
      </c>
    </row>
    <row r="139" spans="1:8" ht="15.75">
      <c r="A139" s="2"/>
      <c r="B139" s="3"/>
      <c r="C139" s="4"/>
      <c r="D139" s="92" t="s">
        <v>85</v>
      </c>
      <c r="E139" s="55" t="s">
        <v>47</v>
      </c>
      <c r="F139" s="28" t="s">
        <v>75</v>
      </c>
      <c r="G139" s="91">
        <v>1500000</v>
      </c>
      <c r="H139" s="62">
        <v>800000</v>
      </c>
    </row>
    <row r="140" spans="1:8" ht="25.5">
      <c r="A140" s="2"/>
      <c r="B140" s="3"/>
      <c r="C140" s="4"/>
      <c r="D140" s="92" t="s">
        <v>125</v>
      </c>
      <c r="E140" s="55" t="s">
        <v>47</v>
      </c>
      <c r="F140" s="28" t="s">
        <v>136</v>
      </c>
      <c r="G140" s="91">
        <v>800000</v>
      </c>
      <c r="H140" s="62">
        <v>600000</v>
      </c>
    </row>
    <row r="141" spans="1:8">
      <c r="A141" s="31"/>
      <c r="B141" s="12">
        <v>80104</v>
      </c>
      <c r="C141" s="13"/>
      <c r="D141" s="14" t="s">
        <v>19</v>
      </c>
      <c r="E141" s="14"/>
      <c r="F141" s="14"/>
      <c r="G141" s="14"/>
      <c r="H141" s="57">
        <f>H142</f>
        <v>750000</v>
      </c>
    </row>
    <row r="142" spans="1:8" ht="15.75">
      <c r="A142" s="2"/>
      <c r="B142" s="3"/>
      <c r="C142" s="13">
        <v>6050</v>
      </c>
      <c r="D142" s="14" t="s">
        <v>28</v>
      </c>
      <c r="E142" s="55"/>
      <c r="F142" s="28"/>
      <c r="G142" s="91"/>
      <c r="H142" s="62">
        <f>SUM(H143:H144)</f>
        <v>750000</v>
      </c>
    </row>
    <row r="143" spans="1:8" ht="25.5">
      <c r="A143" s="2"/>
      <c r="B143" s="3"/>
      <c r="C143" s="13"/>
      <c r="D143" s="14" t="s">
        <v>173</v>
      </c>
      <c r="E143" s="22" t="s">
        <v>47</v>
      </c>
      <c r="F143" s="30">
        <v>2025</v>
      </c>
      <c r="G143" s="91">
        <v>250000</v>
      </c>
      <c r="H143" s="62">
        <v>250000</v>
      </c>
    </row>
    <row r="144" spans="1:8" ht="25.5">
      <c r="A144" s="2"/>
      <c r="B144" s="3"/>
      <c r="C144" s="4"/>
      <c r="D144" s="92" t="s">
        <v>108</v>
      </c>
      <c r="E144" s="22" t="s">
        <v>47</v>
      </c>
      <c r="F144" s="22" t="s">
        <v>136</v>
      </c>
      <c r="G144" s="91">
        <v>1200000</v>
      </c>
      <c r="H144" s="62">
        <v>500000</v>
      </c>
    </row>
    <row r="145" spans="1:8">
      <c r="A145" s="31">
        <v>900</v>
      </c>
      <c r="B145" s="12"/>
      <c r="C145" s="13"/>
      <c r="D145" s="14" t="s">
        <v>20</v>
      </c>
      <c r="E145" s="14"/>
      <c r="F145" s="14"/>
      <c r="G145" s="14"/>
      <c r="H145" s="57">
        <f>H146+H152+H155+H149</f>
        <v>1860000</v>
      </c>
    </row>
    <row r="146" spans="1:8">
      <c r="A146" s="31"/>
      <c r="B146" s="12">
        <v>90001</v>
      </c>
      <c r="C146" s="13"/>
      <c r="D146" s="14" t="s">
        <v>21</v>
      </c>
      <c r="E146" s="68"/>
      <c r="F146" s="68"/>
      <c r="G146" s="14"/>
      <c r="H146" s="57">
        <f>H147</f>
        <v>237000</v>
      </c>
    </row>
    <row r="147" spans="1:8" ht="38.25">
      <c r="A147" s="31"/>
      <c r="B147" s="12"/>
      <c r="C147" s="13">
        <v>6230</v>
      </c>
      <c r="D147" s="14" t="s">
        <v>33</v>
      </c>
      <c r="E147" s="14"/>
      <c r="F147" s="14"/>
      <c r="G147" s="14"/>
      <c r="H147" s="57">
        <f>H148</f>
        <v>237000</v>
      </c>
    </row>
    <row r="148" spans="1:8" ht="18" customHeight="1">
      <c r="A148" s="31"/>
      <c r="B148" s="12"/>
      <c r="C148" s="13"/>
      <c r="D148" s="46" t="s">
        <v>70</v>
      </c>
      <c r="E148" s="22" t="s">
        <v>47</v>
      </c>
      <c r="F148" s="22">
        <v>2025</v>
      </c>
      <c r="G148" s="69">
        <f>180000+57000</f>
        <v>237000</v>
      </c>
      <c r="H148" s="73">
        <f>180000+57000</f>
        <v>237000</v>
      </c>
    </row>
    <row r="149" spans="1:8">
      <c r="A149" s="31"/>
      <c r="B149" s="12">
        <v>90004</v>
      </c>
      <c r="C149" s="13"/>
      <c r="D149" s="14" t="s">
        <v>22</v>
      </c>
      <c r="E149" s="68"/>
      <c r="F149" s="68"/>
      <c r="G149" s="68"/>
      <c r="H149" s="140">
        <f t="shared" ref="H149" si="3">SUM(H150)</f>
        <v>20000</v>
      </c>
    </row>
    <row r="150" spans="1:8" ht="38.25">
      <c r="A150" s="31"/>
      <c r="B150" s="12"/>
      <c r="C150" s="13">
        <v>6230</v>
      </c>
      <c r="D150" s="14" t="s">
        <v>33</v>
      </c>
      <c r="E150" s="68"/>
      <c r="F150" s="129"/>
      <c r="G150" s="122"/>
      <c r="H150" s="97">
        <f>H151</f>
        <v>20000</v>
      </c>
    </row>
    <row r="151" spans="1:8" ht="38.25">
      <c r="A151" s="31"/>
      <c r="B151" s="12"/>
      <c r="C151" s="13"/>
      <c r="D151" s="130" t="s">
        <v>185</v>
      </c>
      <c r="E151" s="22" t="s">
        <v>47</v>
      </c>
      <c r="F151" s="22">
        <v>2025</v>
      </c>
      <c r="G151" s="80">
        <v>20000</v>
      </c>
      <c r="H151" s="53">
        <v>20000</v>
      </c>
    </row>
    <row r="152" spans="1:8">
      <c r="A152" s="31"/>
      <c r="B152" s="12">
        <v>90005</v>
      </c>
      <c r="C152" s="13"/>
      <c r="D152" s="14" t="s">
        <v>23</v>
      </c>
      <c r="E152" s="14"/>
      <c r="F152" s="14"/>
      <c r="G152" s="14"/>
      <c r="H152" s="57">
        <f>H153</f>
        <v>183000</v>
      </c>
    </row>
    <row r="153" spans="1:8" ht="36.75" customHeight="1">
      <c r="A153" s="31"/>
      <c r="B153" s="12"/>
      <c r="C153" s="13">
        <v>6230</v>
      </c>
      <c r="D153" s="14" t="s">
        <v>33</v>
      </c>
      <c r="E153" s="22"/>
      <c r="F153" s="22"/>
      <c r="G153" s="70"/>
      <c r="H153" s="67">
        <f>SUM(H154:H154)</f>
        <v>183000</v>
      </c>
    </row>
    <row r="154" spans="1:8" ht="24.75" customHeight="1">
      <c r="A154" s="2"/>
      <c r="B154" s="3"/>
      <c r="C154" s="4"/>
      <c r="D154" s="46" t="s">
        <v>69</v>
      </c>
      <c r="E154" s="71" t="s">
        <v>47</v>
      </c>
      <c r="F154" s="71">
        <v>2025</v>
      </c>
      <c r="G154" s="72">
        <f>240000-57000</f>
        <v>183000</v>
      </c>
      <c r="H154" s="50">
        <f>240000-57000</f>
        <v>183000</v>
      </c>
    </row>
    <row r="155" spans="1:8" ht="14.25" customHeight="1">
      <c r="A155" s="2"/>
      <c r="B155" s="12">
        <v>90015</v>
      </c>
      <c r="C155" s="13"/>
      <c r="D155" s="14" t="s">
        <v>34</v>
      </c>
      <c r="E155" s="46"/>
      <c r="F155" s="46"/>
      <c r="G155" s="46"/>
      <c r="H155" s="73">
        <f>H156</f>
        <v>1420000</v>
      </c>
    </row>
    <row r="156" spans="1:8" ht="15.75">
      <c r="A156" s="2"/>
      <c r="B156" s="12"/>
      <c r="C156" s="13">
        <v>6050</v>
      </c>
      <c r="D156" s="14" t="s">
        <v>28</v>
      </c>
      <c r="E156" s="23"/>
      <c r="F156" s="22"/>
      <c r="G156" s="70"/>
      <c r="H156" s="67">
        <f>H157</f>
        <v>1420000</v>
      </c>
    </row>
    <row r="157" spans="1:8" ht="15.75">
      <c r="A157" s="2"/>
      <c r="B157" s="12"/>
      <c r="C157" s="13"/>
      <c r="D157" s="14" t="s">
        <v>109</v>
      </c>
      <c r="E157" s="51" t="s">
        <v>47</v>
      </c>
      <c r="F157" s="22">
        <v>2025</v>
      </c>
      <c r="G157" s="70">
        <f>720000+700000</f>
        <v>1420000</v>
      </c>
      <c r="H157" s="67">
        <f>720000+700000</f>
        <v>1420000</v>
      </c>
    </row>
    <row r="158" spans="1:8">
      <c r="A158" s="31">
        <v>921</v>
      </c>
      <c r="B158" s="12"/>
      <c r="C158" s="13"/>
      <c r="D158" s="14" t="s">
        <v>35</v>
      </c>
      <c r="E158" s="14"/>
      <c r="F158" s="14"/>
      <c r="G158" s="14"/>
      <c r="H158" s="57">
        <f>+H162+H159</f>
        <v>6060000</v>
      </c>
    </row>
    <row r="159" spans="1:8" ht="15.75">
      <c r="A159" s="2"/>
      <c r="B159" s="12">
        <v>92109</v>
      </c>
      <c r="C159" s="13"/>
      <c r="D159" s="14" t="s">
        <v>36</v>
      </c>
      <c r="E159" s="6"/>
      <c r="F159" s="14"/>
      <c r="G159" s="14"/>
      <c r="H159" s="57">
        <f>H160</f>
        <v>100000</v>
      </c>
    </row>
    <row r="160" spans="1:8">
      <c r="A160" s="31"/>
      <c r="B160" s="12"/>
      <c r="C160" s="13">
        <v>6050</v>
      </c>
      <c r="D160" s="14" t="s">
        <v>28</v>
      </c>
      <c r="E160" s="14"/>
      <c r="F160" s="14"/>
      <c r="G160" s="14"/>
      <c r="H160" s="57">
        <f>H161</f>
        <v>100000</v>
      </c>
    </row>
    <row r="161" spans="1:8" ht="15" customHeight="1">
      <c r="A161" s="31"/>
      <c r="B161" s="12"/>
      <c r="C161" s="13"/>
      <c r="D161" s="14" t="s">
        <v>153</v>
      </c>
      <c r="E161" s="51" t="s">
        <v>47</v>
      </c>
      <c r="F161" s="22">
        <v>2025</v>
      </c>
      <c r="G161" s="80">
        <v>100000</v>
      </c>
      <c r="H161" s="57">
        <v>100000</v>
      </c>
    </row>
    <row r="162" spans="1:8">
      <c r="A162" s="31"/>
      <c r="B162" s="12">
        <v>92120</v>
      </c>
      <c r="C162" s="13"/>
      <c r="D162" s="14" t="s">
        <v>37</v>
      </c>
      <c r="E162" s="14"/>
      <c r="F162" s="14"/>
      <c r="G162" s="14"/>
      <c r="H162" s="57">
        <f>H163+H168++H166</f>
        <v>5960000</v>
      </c>
    </row>
    <row r="163" spans="1:8" ht="25.5">
      <c r="A163" s="31"/>
      <c r="B163" s="12"/>
      <c r="C163" s="13">
        <v>6580</v>
      </c>
      <c r="D163" s="14" t="s">
        <v>107</v>
      </c>
      <c r="E163" s="76"/>
      <c r="F163" s="76"/>
      <c r="G163" s="77"/>
      <c r="H163" s="78">
        <f>H164+H165</f>
        <v>1543000</v>
      </c>
    </row>
    <row r="164" spans="1:8" ht="25.5">
      <c r="A164" s="2"/>
      <c r="B164" s="3"/>
      <c r="C164" s="20"/>
      <c r="D164" s="46" t="s">
        <v>146</v>
      </c>
      <c r="E164" s="22" t="s">
        <v>47</v>
      </c>
      <c r="F164" s="48" t="s">
        <v>150</v>
      </c>
      <c r="G164" s="49">
        <f>1031000+7000000</f>
        <v>8031000</v>
      </c>
      <c r="H164" s="50">
        <f>3500000-3457000</f>
        <v>43000</v>
      </c>
    </row>
    <row r="165" spans="1:8" ht="15.75">
      <c r="A165" s="2"/>
      <c r="B165" s="3"/>
      <c r="C165" s="4"/>
      <c r="D165" s="14" t="s">
        <v>110</v>
      </c>
      <c r="E165" s="22" t="s">
        <v>47</v>
      </c>
      <c r="F165" s="48" t="s">
        <v>111</v>
      </c>
      <c r="G165" s="49">
        <f>2000000+2700000</f>
        <v>4700000</v>
      </c>
      <c r="H165" s="50">
        <v>1500000</v>
      </c>
    </row>
    <row r="166" spans="1:8" ht="38.25">
      <c r="A166" s="2"/>
      <c r="B166" s="3"/>
      <c r="C166" s="13">
        <v>6370</v>
      </c>
      <c r="D166" s="14" t="s">
        <v>40</v>
      </c>
      <c r="E166" s="71"/>
      <c r="F166" s="48"/>
      <c r="G166" s="49"/>
      <c r="H166" s="50">
        <f>H167</f>
        <v>3457000</v>
      </c>
    </row>
    <row r="167" spans="1:8" ht="25.5">
      <c r="A167" s="2"/>
      <c r="B167" s="3"/>
      <c r="C167" s="4"/>
      <c r="D167" s="46" t="s">
        <v>146</v>
      </c>
      <c r="E167" s="22" t="s">
        <v>47</v>
      </c>
      <c r="F167" s="48"/>
      <c r="G167" s="49"/>
      <c r="H167" s="50">
        <v>3457000</v>
      </c>
    </row>
    <row r="168" spans="1:8" ht="51">
      <c r="A168" s="2"/>
      <c r="B168" s="3"/>
      <c r="C168" s="74">
        <v>6570</v>
      </c>
      <c r="D168" s="21" t="s">
        <v>41</v>
      </c>
      <c r="E168" s="71"/>
      <c r="F168" s="23"/>
      <c r="G168" s="72"/>
      <c r="H168" s="75">
        <f>SUM(H169:H171)</f>
        <v>960000</v>
      </c>
    </row>
    <row r="169" spans="1:8" ht="25.5">
      <c r="A169" s="2"/>
      <c r="B169" s="3"/>
      <c r="C169" s="20"/>
      <c r="D169" s="16" t="s">
        <v>86</v>
      </c>
      <c r="E169" s="22" t="s">
        <v>47</v>
      </c>
      <c r="F169" s="51" t="s">
        <v>75</v>
      </c>
      <c r="G169" s="72">
        <f>352800+7200</f>
        <v>360000</v>
      </c>
      <c r="H169" s="75">
        <f>352800+7200</f>
        <v>360000</v>
      </c>
    </row>
    <row r="170" spans="1:8" ht="25.5">
      <c r="A170" s="2"/>
      <c r="B170" s="19"/>
      <c r="C170" s="20"/>
      <c r="D170" s="46" t="s">
        <v>87</v>
      </c>
      <c r="E170" s="22" t="s">
        <v>47</v>
      </c>
      <c r="F170" s="51" t="s">
        <v>75</v>
      </c>
      <c r="G170" s="69">
        <f>490000+10000</f>
        <v>500000</v>
      </c>
      <c r="H170" s="73">
        <f>490000+10000</f>
        <v>500000</v>
      </c>
    </row>
    <row r="171" spans="1:8" ht="25.5">
      <c r="A171" s="108"/>
      <c r="B171" s="3"/>
      <c r="C171" s="4"/>
      <c r="D171" s="14" t="s">
        <v>155</v>
      </c>
      <c r="E171" s="51" t="s">
        <v>47</v>
      </c>
      <c r="F171" s="22">
        <v>2025</v>
      </c>
      <c r="G171" s="80">
        <v>100000</v>
      </c>
      <c r="H171" s="57">
        <v>100000</v>
      </c>
    </row>
    <row r="172" spans="1:8">
      <c r="A172" s="36">
        <v>926</v>
      </c>
      <c r="B172" s="12"/>
      <c r="C172" s="13"/>
      <c r="D172" s="14" t="s">
        <v>24</v>
      </c>
      <c r="E172" s="14"/>
      <c r="F172" s="14"/>
      <c r="G172" s="14"/>
      <c r="H172" s="57">
        <f>H173+H188+H193</f>
        <v>10585000</v>
      </c>
    </row>
    <row r="173" spans="1:8">
      <c r="A173" s="31"/>
      <c r="B173" s="12">
        <v>92601</v>
      </c>
      <c r="C173" s="13"/>
      <c r="D173" s="14" t="s">
        <v>38</v>
      </c>
      <c r="E173" s="14"/>
      <c r="F173" s="14"/>
      <c r="G173" s="14"/>
      <c r="H173" s="57">
        <f>H174</f>
        <v>6530000</v>
      </c>
    </row>
    <row r="174" spans="1:8">
      <c r="A174" s="31"/>
      <c r="B174" s="12"/>
      <c r="C174" s="13">
        <v>6050</v>
      </c>
      <c r="D174" s="46" t="s">
        <v>28</v>
      </c>
      <c r="E174" s="23"/>
      <c r="F174" s="22"/>
      <c r="G174" s="69"/>
      <c r="H174" s="73">
        <f>SUM(H175:H187)</f>
        <v>6530000</v>
      </c>
    </row>
    <row r="175" spans="1:8" ht="13.5" customHeight="1">
      <c r="A175" s="2"/>
      <c r="B175" s="3"/>
      <c r="C175" s="20"/>
      <c r="D175" s="131" t="s">
        <v>112</v>
      </c>
      <c r="E175" s="51" t="s">
        <v>47</v>
      </c>
      <c r="F175" s="51" t="s">
        <v>75</v>
      </c>
      <c r="G175" s="80">
        <f>250000+100000+100000</f>
        <v>450000</v>
      </c>
      <c r="H175" s="57">
        <f>250000+100000</f>
        <v>350000</v>
      </c>
    </row>
    <row r="176" spans="1:8" ht="15.75">
      <c r="A176" s="132"/>
      <c r="B176" s="19"/>
      <c r="C176" s="20"/>
      <c r="D176" s="81" t="s">
        <v>113</v>
      </c>
      <c r="E176" s="22" t="s">
        <v>47</v>
      </c>
      <c r="F176" s="22" t="s">
        <v>111</v>
      </c>
      <c r="G176" s="69">
        <f>500000-300000+8000000</f>
        <v>8200000</v>
      </c>
      <c r="H176" s="73">
        <v>500000</v>
      </c>
    </row>
    <row r="177" spans="1:8" ht="15.75">
      <c r="A177" s="2"/>
      <c r="B177" s="3"/>
      <c r="C177" s="20"/>
      <c r="D177" s="133" t="s">
        <v>82</v>
      </c>
      <c r="E177" s="56" t="s">
        <v>47</v>
      </c>
      <c r="F177" s="134" t="s">
        <v>111</v>
      </c>
      <c r="G177" s="82">
        <f>6500000+1310000+300000</f>
        <v>8110000</v>
      </c>
      <c r="H177" s="83">
        <f>2850000+300000</f>
        <v>3150000</v>
      </c>
    </row>
    <row r="178" spans="1:8" ht="16.5" customHeight="1">
      <c r="A178" s="2"/>
      <c r="B178" s="3"/>
      <c r="C178" s="4"/>
      <c r="D178" s="79" t="s">
        <v>114</v>
      </c>
      <c r="E178" s="56" t="s">
        <v>47</v>
      </c>
      <c r="F178" s="134" t="s">
        <v>75</v>
      </c>
      <c r="G178" s="69">
        <f>480000+140000-150000</f>
        <v>470000</v>
      </c>
      <c r="H178" s="73">
        <f>520000-150000</f>
        <v>370000</v>
      </c>
    </row>
    <row r="179" spans="1:8" ht="16.5" customHeight="1">
      <c r="A179" s="2"/>
      <c r="B179" s="3"/>
      <c r="C179" s="4"/>
      <c r="D179" s="79" t="s">
        <v>115</v>
      </c>
      <c r="E179" s="56" t="s">
        <v>47</v>
      </c>
      <c r="F179" s="56" t="s">
        <v>75</v>
      </c>
      <c r="G179" s="69">
        <f>280000-60000</f>
        <v>220000</v>
      </c>
      <c r="H179" s="73">
        <f>270000-60000</f>
        <v>210000</v>
      </c>
    </row>
    <row r="180" spans="1:8" ht="15.75" customHeight="1">
      <c r="A180" s="2"/>
      <c r="B180" s="3"/>
      <c r="C180" s="20"/>
      <c r="D180" s="65" t="s">
        <v>71</v>
      </c>
      <c r="E180" s="22" t="s">
        <v>47</v>
      </c>
      <c r="F180" s="22" t="s">
        <v>72</v>
      </c>
      <c r="G180" s="69">
        <v>8000000</v>
      </c>
      <c r="H180" s="73">
        <v>100000</v>
      </c>
    </row>
    <row r="181" spans="1:8" ht="15" customHeight="1">
      <c r="A181" s="2"/>
      <c r="B181" s="3"/>
      <c r="C181" s="4"/>
      <c r="D181" s="79" t="s">
        <v>142</v>
      </c>
      <c r="E181" s="22" t="s">
        <v>47</v>
      </c>
      <c r="F181" s="51">
        <v>2025</v>
      </c>
      <c r="G181" s="80">
        <v>50000</v>
      </c>
      <c r="H181" s="57">
        <v>50000</v>
      </c>
    </row>
    <row r="182" spans="1:8" ht="25.5">
      <c r="A182" s="2"/>
      <c r="B182" s="3"/>
      <c r="C182" s="4"/>
      <c r="D182" s="79" t="s">
        <v>127</v>
      </c>
      <c r="E182" s="22" t="s">
        <v>47</v>
      </c>
      <c r="F182" s="51">
        <v>2025</v>
      </c>
      <c r="G182" s="80">
        <f>500000+100000-100000</f>
        <v>500000</v>
      </c>
      <c r="H182" s="57">
        <f>500000+100000-100000</f>
        <v>500000</v>
      </c>
    </row>
    <row r="183" spans="1:8" ht="25.5">
      <c r="A183" s="2"/>
      <c r="B183" s="3"/>
      <c r="C183" s="4"/>
      <c r="D183" s="79" t="s">
        <v>128</v>
      </c>
      <c r="E183" s="22" t="s">
        <v>47</v>
      </c>
      <c r="F183" s="51">
        <v>2025</v>
      </c>
      <c r="G183" s="80">
        <f>800000+100000</f>
        <v>900000</v>
      </c>
      <c r="H183" s="57">
        <f>800000+100000</f>
        <v>900000</v>
      </c>
    </row>
    <row r="184" spans="1:8" ht="25.5">
      <c r="A184" s="2"/>
      <c r="B184" s="3"/>
      <c r="C184" s="4"/>
      <c r="D184" s="79" t="s">
        <v>129</v>
      </c>
      <c r="E184" s="22" t="s">
        <v>47</v>
      </c>
      <c r="F184" s="51">
        <v>2025</v>
      </c>
      <c r="G184" s="80">
        <f>300000-150000</f>
        <v>150000</v>
      </c>
      <c r="H184" s="57">
        <f>300000-150000</f>
        <v>150000</v>
      </c>
    </row>
    <row r="185" spans="1:8" ht="17.25" customHeight="1">
      <c r="A185" s="2"/>
      <c r="B185" s="3"/>
      <c r="C185" s="4"/>
      <c r="D185" s="79" t="s">
        <v>186</v>
      </c>
      <c r="E185" s="22" t="s">
        <v>47</v>
      </c>
      <c r="F185" s="51" t="s">
        <v>137</v>
      </c>
      <c r="G185" s="80">
        <v>2000000</v>
      </c>
      <c r="H185" s="57">
        <v>50000</v>
      </c>
    </row>
    <row r="186" spans="1:8" ht="26.25" customHeight="1">
      <c r="A186" s="2"/>
      <c r="B186" s="3"/>
      <c r="C186" s="4"/>
      <c r="D186" s="79" t="s">
        <v>170</v>
      </c>
      <c r="E186" s="22" t="s">
        <v>47</v>
      </c>
      <c r="F186" s="51" t="s">
        <v>171</v>
      </c>
      <c r="G186" s="80">
        <v>1000000</v>
      </c>
      <c r="H186" s="57">
        <v>100000</v>
      </c>
    </row>
    <row r="187" spans="1:8" ht="15.75">
      <c r="A187" s="2"/>
      <c r="B187" s="3"/>
      <c r="C187" s="4"/>
      <c r="D187" s="79" t="s">
        <v>172</v>
      </c>
      <c r="E187" s="22" t="s">
        <v>47</v>
      </c>
      <c r="F187" s="51" t="s">
        <v>137</v>
      </c>
      <c r="G187" s="80">
        <v>9000000</v>
      </c>
      <c r="H187" s="57">
        <v>100000</v>
      </c>
    </row>
    <row r="188" spans="1:8">
      <c r="A188" s="31"/>
      <c r="B188" s="12">
        <v>92604</v>
      </c>
      <c r="C188" s="13"/>
      <c r="D188" s="14" t="s">
        <v>25</v>
      </c>
      <c r="E188" s="79"/>
      <c r="F188" s="14"/>
      <c r="G188" s="14"/>
      <c r="H188" s="57">
        <f>H189+H191</f>
        <v>645000</v>
      </c>
    </row>
    <row r="189" spans="1:8">
      <c r="A189" s="31"/>
      <c r="B189" s="12"/>
      <c r="C189" s="13">
        <v>6050</v>
      </c>
      <c r="D189" s="14" t="s">
        <v>28</v>
      </c>
      <c r="E189" s="51"/>
      <c r="F189" s="51"/>
      <c r="G189" s="80"/>
      <c r="H189" s="57">
        <f>H190</f>
        <v>600000</v>
      </c>
    </row>
    <row r="190" spans="1:8" ht="25.5">
      <c r="A190" s="2"/>
      <c r="B190" s="3"/>
      <c r="C190" s="4"/>
      <c r="D190" s="84" t="s">
        <v>116</v>
      </c>
      <c r="E190" s="56" t="s">
        <v>47</v>
      </c>
      <c r="F190" s="56" t="s">
        <v>60</v>
      </c>
      <c r="G190" s="85">
        <f>600000+249000</f>
        <v>849000</v>
      </c>
      <c r="H190" s="83">
        <v>600000</v>
      </c>
    </row>
    <row r="191" spans="1:8" ht="15.75">
      <c r="A191" s="2"/>
      <c r="B191" s="3"/>
      <c r="C191" s="13">
        <v>6060</v>
      </c>
      <c r="D191" s="14" t="s">
        <v>30</v>
      </c>
      <c r="E191" s="55"/>
      <c r="F191" s="55"/>
      <c r="G191" s="82"/>
      <c r="H191" s="83">
        <f>H192</f>
        <v>45000</v>
      </c>
    </row>
    <row r="192" spans="1:8" ht="15.75">
      <c r="A192" s="2"/>
      <c r="B192" s="3"/>
      <c r="C192" s="13"/>
      <c r="D192" s="14" t="s">
        <v>154</v>
      </c>
      <c r="E192" s="22" t="s">
        <v>47</v>
      </c>
      <c r="F192" s="51">
        <v>2025</v>
      </c>
      <c r="G192" s="82">
        <v>45000</v>
      </c>
      <c r="H192" s="83">
        <v>45000</v>
      </c>
    </row>
    <row r="193" spans="1:8">
      <c r="A193" s="31"/>
      <c r="B193" s="12">
        <v>92695</v>
      </c>
      <c r="C193" s="13"/>
      <c r="D193" s="14" t="s">
        <v>5</v>
      </c>
      <c r="E193" s="14"/>
      <c r="F193" s="14"/>
      <c r="G193" s="14"/>
      <c r="H193" s="57">
        <f>H194</f>
        <v>3410000</v>
      </c>
    </row>
    <row r="194" spans="1:8">
      <c r="A194" s="31"/>
      <c r="B194" s="12"/>
      <c r="C194" s="13">
        <v>6050</v>
      </c>
      <c r="D194" s="14" t="s">
        <v>28</v>
      </c>
      <c r="E194" s="51"/>
      <c r="F194" s="51"/>
      <c r="G194" s="80"/>
      <c r="H194" s="57">
        <f>SUM(H195:H205)</f>
        <v>3410000</v>
      </c>
    </row>
    <row r="195" spans="1:8" ht="24" customHeight="1">
      <c r="A195" s="31"/>
      <c r="B195" s="12"/>
      <c r="C195" s="13"/>
      <c r="D195" s="14" t="s">
        <v>130</v>
      </c>
      <c r="E195" s="51" t="s">
        <v>47</v>
      </c>
      <c r="F195" s="51">
        <v>2025</v>
      </c>
      <c r="G195" s="80">
        <v>500000</v>
      </c>
      <c r="H195" s="57">
        <v>500000</v>
      </c>
    </row>
    <row r="196" spans="1:8" ht="24" customHeight="1">
      <c r="A196" s="31"/>
      <c r="B196" s="12"/>
      <c r="C196" s="13"/>
      <c r="D196" s="14" t="s">
        <v>188</v>
      </c>
      <c r="E196" s="51" t="s">
        <v>47</v>
      </c>
      <c r="F196" s="51">
        <v>2025</v>
      </c>
      <c r="G196" s="80">
        <v>200000</v>
      </c>
      <c r="H196" s="57">
        <v>200000</v>
      </c>
    </row>
    <row r="197" spans="1:8">
      <c r="A197" s="31"/>
      <c r="B197" s="12"/>
      <c r="C197" s="13"/>
      <c r="D197" s="14" t="s">
        <v>117</v>
      </c>
      <c r="E197" s="51" t="s">
        <v>47</v>
      </c>
      <c r="F197" s="51" t="s">
        <v>75</v>
      </c>
      <c r="G197" s="80">
        <v>250000</v>
      </c>
      <c r="H197" s="57">
        <v>225000</v>
      </c>
    </row>
    <row r="198" spans="1:8">
      <c r="A198" s="31"/>
      <c r="B198" s="12"/>
      <c r="C198" s="13"/>
      <c r="D198" s="14" t="s">
        <v>118</v>
      </c>
      <c r="E198" s="51" t="s">
        <v>47</v>
      </c>
      <c r="F198" s="51" t="s">
        <v>75</v>
      </c>
      <c r="G198" s="80">
        <f>250000+50000+50000</f>
        <v>350000</v>
      </c>
      <c r="H198" s="57">
        <f>200000+50000+50000</f>
        <v>300000</v>
      </c>
    </row>
    <row r="199" spans="1:8" ht="12.75" customHeight="1">
      <c r="A199" s="31"/>
      <c r="B199" s="12"/>
      <c r="C199" s="13"/>
      <c r="D199" s="14" t="s">
        <v>119</v>
      </c>
      <c r="E199" s="51" t="s">
        <v>47</v>
      </c>
      <c r="F199" s="51" t="s">
        <v>75</v>
      </c>
      <c r="G199" s="80">
        <f>250000+50000</f>
        <v>300000</v>
      </c>
      <c r="H199" s="57">
        <f>200000+50000</f>
        <v>250000</v>
      </c>
    </row>
    <row r="200" spans="1:8" ht="12.75" customHeight="1">
      <c r="A200" s="31"/>
      <c r="B200" s="135"/>
      <c r="C200" s="93"/>
      <c r="D200" s="46" t="s">
        <v>120</v>
      </c>
      <c r="E200" s="22" t="s">
        <v>47</v>
      </c>
      <c r="F200" s="22" t="s">
        <v>75</v>
      </c>
      <c r="G200" s="69">
        <f>250000+500000</f>
        <v>750000</v>
      </c>
      <c r="H200" s="73">
        <f>100000+85000+500000</f>
        <v>685000</v>
      </c>
    </row>
    <row r="201" spans="1:8" ht="25.5">
      <c r="A201" s="31"/>
      <c r="B201" s="135"/>
      <c r="C201" s="93"/>
      <c r="D201" s="46" t="s">
        <v>165</v>
      </c>
      <c r="E201" s="22" t="s">
        <v>47</v>
      </c>
      <c r="F201" s="76">
        <v>2025</v>
      </c>
      <c r="G201" s="77">
        <v>250000</v>
      </c>
      <c r="H201" s="136">
        <v>250000</v>
      </c>
    </row>
    <row r="202" spans="1:8" ht="25.5">
      <c r="A202" s="31"/>
      <c r="B202" s="135"/>
      <c r="C202" s="93"/>
      <c r="D202" s="46" t="s">
        <v>166</v>
      </c>
      <c r="E202" s="22" t="s">
        <v>47</v>
      </c>
      <c r="F202" s="76">
        <v>2025</v>
      </c>
      <c r="G202" s="77">
        <v>250000</v>
      </c>
      <c r="H202" s="136">
        <v>250000</v>
      </c>
    </row>
    <row r="203" spans="1:8" ht="25.5">
      <c r="A203" s="31"/>
      <c r="B203" s="135"/>
      <c r="C203" s="93"/>
      <c r="D203" s="46" t="s">
        <v>167</v>
      </c>
      <c r="E203" s="22" t="s">
        <v>47</v>
      </c>
      <c r="F203" s="76">
        <v>2025</v>
      </c>
      <c r="G203" s="77">
        <v>250000</v>
      </c>
      <c r="H203" s="136">
        <v>250000</v>
      </c>
    </row>
    <row r="204" spans="1:8" ht="12.75" customHeight="1">
      <c r="A204" s="31"/>
      <c r="B204" s="135"/>
      <c r="C204" s="93"/>
      <c r="D204" s="46" t="s">
        <v>169</v>
      </c>
      <c r="E204" s="22" t="s">
        <v>47</v>
      </c>
      <c r="F204" s="76">
        <v>2025</v>
      </c>
      <c r="G204" s="77">
        <v>250000</v>
      </c>
      <c r="H204" s="136">
        <v>250000</v>
      </c>
    </row>
    <row r="205" spans="1:8" ht="13.5" customHeight="1">
      <c r="A205" s="137"/>
      <c r="B205" s="138"/>
      <c r="C205" s="115"/>
      <c r="D205" s="15" t="s">
        <v>168</v>
      </c>
      <c r="E205" s="76" t="s">
        <v>47</v>
      </c>
      <c r="F205" s="76">
        <v>2025</v>
      </c>
      <c r="G205" s="77">
        <v>250000</v>
      </c>
      <c r="H205" s="136">
        <v>250000</v>
      </c>
    </row>
    <row r="206" spans="1:8" ht="18" customHeight="1">
      <c r="A206" s="139"/>
      <c r="B206" s="109"/>
      <c r="C206" s="110"/>
      <c r="D206" s="111" t="s">
        <v>26</v>
      </c>
      <c r="E206" s="112"/>
      <c r="F206" s="112"/>
      <c r="G206" s="112"/>
      <c r="H206" s="113">
        <f>H9+H16+H75+H91+H104+H114+H128+H145+H158+H172+H98</f>
        <v>88037982</v>
      </c>
    </row>
    <row r="207" spans="1:8" ht="15">
      <c r="F207" s="9"/>
    </row>
    <row r="208" spans="1:8" ht="15">
      <c r="F208" s="9"/>
      <c r="H208" s="106"/>
    </row>
    <row r="209" spans="8:8">
      <c r="H209" s="106"/>
    </row>
  </sheetData>
  <mergeCells count="1">
    <mergeCell ref="A4:H4"/>
  </mergeCells>
  <phoneticPr fontId="57" type="noConversion"/>
  <conditionalFormatting sqref="A25:B25">
    <cfRule type="expression" dxfId="168" priority="253" stopIfTrue="1">
      <formula>#REF! = "OGÓŁEM:"</formula>
    </cfRule>
    <cfRule type="expression" dxfId="167" priority="255" stopIfTrue="1">
      <formula>LEN($B25)&gt;1</formula>
    </cfRule>
    <cfRule type="expression" dxfId="166" priority="254" stopIfTrue="1">
      <formula>LEN($A25)&gt;1</formula>
    </cfRule>
  </conditionalFormatting>
  <conditionalFormatting sqref="A78:B80 A135:C135 A136:B136 A137:C137 A154:C154 A175:C175">
    <cfRule type="expression" dxfId="165" priority="237" stopIfTrue="1">
      <formula>LEN($B78)&gt;1</formula>
    </cfRule>
    <cfRule type="expression" dxfId="164" priority="236" stopIfTrue="1">
      <formula>LEN($A78)&gt;1</formula>
    </cfRule>
  </conditionalFormatting>
  <conditionalFormatting sqref="A78:B80 A135:C135 A136:B136 A137:C137 A154:C154 A175:C176">
    <cfRule type="expression" dxfId="163" priority="235" stopIfTrue="1">
      <formula>#REF! = "OGÓŁEM:"</formula>
    </cfRule>
  </conditionalFormatting>
  <conditionalFormatting sqref="A110:B110">
    <cfRule type="expression" dxfId="162" priority="303" stopIfTrue="1">
      <formula>LEN($B110)&gt;1</formula>
    </cfRule>
    <cfRule type="expression" dxfId="161" priority="302" stopIfTrue="1">
      <formula>LEN($A110)&gt;1</formula>
    </cfRule>
    <cfRule type="expression" dxfId="160" priority="301" stopIfTrue="1">
      <formula>$D100 = "OGÓŁEM:"</formula>
    </cfRule>
  </conditionalFormatting>
  <conditionalFormatting sqref="A12:C12 A82:D87 A139:C141 A144:C144">
    <cfRule type="expression" dxfId="159" priority="115" stopIfTrue="1">
      <formula>$D12 = "OGÓŁEM:"</formula>
    </cfRule>
    <cfRule type="expression" dxfId="158" priority="116" stopIfTrue="1">
      <formula>LEN($A12)&gt;1</formula>
    </cfRule>
    <cfRule type="expression" dxfId="157" priority="117" stopIfTrue="1">
      <formula>LEN($B12)&gt;1</formula>
    </cfRule>
  </conditionalFormatting>
  <conditionalFormatting sqref="A59:C59">
    <cfRule type="expression" dxfId="156" priority="234" stopIfTrue="1">
      <formula>LEN($B59)&gt;1</formula>
    </cfRule>
    <cfRule type="expression" dxfId="155" priority="233" stopIfTrue="1">
      <formula>LEN($A59)&gt;1</formula>
    </cfRule>
    <cfRule type="expression" dxfId="154" priority="232" stopIfTrue="1">
      <formula>#REF! = "OGÓŁEM:"</formula>
    </cfRule>
  </conditionalFormatting>
  <conditionalFormatting sqref="A67:C68 A100:B102">
    <cfRule type="expression" dxfId="153" priority="294" stopIfTrue="1">
      <formula>LEN($B67)&gt;1</formula>
    </cfRule>
    <cfRule type="expression" dxfId="152" priority="293" stopIfTrue="1">
      <formula>LEN($A67)&gt;1</formula>
    </cfRule>
    <cfRule type="expression" dxfId="151" priority="292" stopIfTrue="1">
      <formula>#REF! = "OGÓŁEM:"</formula>
    </cfRule>
  </conditionalFormatting>
  <conditionalFormatting sqref="A176:C177">
    <cfRule type="expression" dxfId="150" priority="252" stopIfTrue="1">
      <formula>LEN($B176)&gt;1</formula>
    </cfRule>
    <cfRule type="expression" dxfId="149" priority="251" stopIfTrue="1">
      <formula>LEN($A176)&gt;1</formula>
    </cfRule>
  </conditionalFormatting>
  <conditionalFormatting sqref="A177:C177">
    <cfRule type="expression" dxfId="148" priority="250" stopIfTrue="1">
      <formula>$D180 = "OGÓŁEM:"</formula>
    </cfRule>
  </conditionalFormatting>
  <conditionalFormatting sqref="A178:C179">
    <cfRule type="expression" dxfId="147" priority="278" stopIfTrue="1">
      <formula>LEN($A178)&gt;1</formula>
    </cfRule>
    <cfRule type="expression" dxfId="146" priority="279" stopIfTrue="1">
      <formula>LEN($B178)&gt;1</formula>
    </cfRule>
    <cfRule type="expression" dxfId="145" priority="277" stopIfTrue="1">
      <formula>$D175 = "OGÓŁEM:"</formula>
    </cfRule>
  </conditionalFormatting>
  <conditionalFormatting sqref="A18:D19 A30:C58 A60:C66 A69:C71 A103:D107 A111:D114 A117:D119">
    <cfRule type="expression" dxfId="144" priority="59" stopIfTrue="1">
      <formula>LEN($A18)&gt;1</formula>
    </cfRule>
    <cfRule type="expression" dxfId="143" priority="60" stopIfTrue="1">
      <formula>LEN($B18)&gt;1</formula>
    </cfRule>
    <cfRule type="expression" dxfId="142" priority="58" stopIfTrue="1">
      <formula>$D18 = "OGÓŁEM:"</formula>
    </cfRule>
  </conditionalFormatting>
  <conditionalFormatting sqref="A26:D26 A27:C27 A148:C148 A151:C151">
    <cfRule type="expression" dxfId="141" priority="72" stopIfTrue="1">
      <formula>LEN($B26)&gt;1</formula>
    </cfRule>
    <cfRule type="expression" dxfId="140" priority="71" stopIfTrue="1">
      <formula>LEN($A26)&gt;1</formula>
    </cfRule>
    <cfRule type="expression" dxfId="139" priority="70" stopIfTrue="1">
      <formula>$D26 = "OGÓŁEM:"</formula>
    </cfRule>
  </conditionalFormatting>
  <conditionalFormatting sqref="A29:D29">
    <cfRule type="expression" dxfId="138" priority="216" stopIfTrue="1">
      <formula>LEN($B29)&gt;1</formula>
    </cfRule>
    <cfRule type="expression" dxfId="137" priority="215" stopIfTrue="1">
      <formula>LEN($A29)&gt;1</formula>
    </cfRule>
    <cfRule type="expression" dxfId="136" priority="214" stopIfTrue="1">
      <formula>$D29 = "OGÓŁEM:"</formula>
    </cfRule>
  </conditionalFormatting>
  <conditionalFormatting sqref="A138:D138">
    <cfRule type="expression" dxfId="135" priority="126" stopIfTrue="1">
      <formula>LEN($B138)&gt;1</formula>
    </cfRule>
    <cfRule type="expression" dxfId="134" priority="125" stopIfTrue="1">
      <formula>LEN($A138)&gt;1</formula>
    </cfRule>
    <cfRule type="expression" dxfId="133" priority="124" stopIfTrue="1">
      <formula>$D138 = "OGÓŁEM:"</formula>
    </cfRule>
  </conditionalFormatting>
  <conditionalFormatting sqref="A142:D143">
    <cfRule type="expression" dxfId="132" priority="110" stopIfTrue="1">
      <formula>LEN($A142)&gt;1</formula>
    </cfRule>
    <cfRule type="expression" dxfId="131" priority="111" stopIfTrue="1">
      <formula>LEN($B142)&gt;1</formula>
    </cfRule>
    <cfRule type="expression" dxfId="130" priority="109" stopIfTrue="1">
      <formula>$D142 = "OGÓŁEM:"</formula>
    </cfRule>
  </conditionalFormatting>
  <conditionalFormatting sqref="A160:D162 A163:C165">
    <cfRule type="expression" dxfId="129" priority="35" stopIfTrue="1">
      <formula>LEN($A160)&gt;1</formula>
    </cfRule>
    <cfRule type="expression" dxfId="128" priority="34" stopIfTrue="1">
      <formula>$D160 = "OGÓŁEM:"</formula>
    </cfRule>
    <cfRule type="expression" dxfId="127" priority="36" stopIfTrue="1">
      <formula>LEN($B160)&gt;1</formula>
    </cfRule>
  </conditionalFormatting>
  <conditionalFormatting sqref="A166:D166">
    <cfRule type="expression" dxfId="126" priority="40" stopIfTrue="1">
      <formula>$D166 = "OGÓŁEM:"</formula>
    </cfRule>
    <cfRule type="expression" dxfId="125" priority="41" stopIfTrue="1">
      <formula>LEN($A166)&gt;1</formula>
    </cfRule>
    <cfRule type="expression" dxfId="124" priority="42" stopIfTrue="1">
      <formula>LEN($B166)&gt;1</formula>
    </cfRule>
  </conditionalFormatting>
  <conditionalFormatting sqref="A168:D168">
    <cfRule type="expression" dxfId="123" priority="152" stopIfTrue="1">
      <formula>LEN($A168)&gt;1</formula>
    </cfRule>
    <cfRule type="expression" dxfId="122" priority="153" stopIfTrue="1">
      <formula>LEN($B168)&gt;1</formula>
    </cfRule>
    <cfRule type="expression" dxfId="121" priority="151" stopIfTrue="1">
      <formula>$D168 = "OGÓŁEM:"</formula>
    </cfRule>
  </conditionalFormatting>
  <conditionalFormatting sqref="A189:D189">
    <cfRule type="expression" dxfId="120" priority="145" stopIfTrue="1">
      <formula>$D189 = "OGÓŁEM:"</formula>
    </cfRule>
    <cfRule type="expression" dxfId="119" priority="146" stopIfTrue="1">
      <formula>LEN($A189)&gt;1</formula>
    </cfRule>
    <cfRule type="expression" dxfId="118" priority="147" stopIfTrue="1">
      <formula>LEN($B189)&gt;1</formula>
    </cfRule>
  </conditionalFormatting>
  <conditionalFormatting sqref="A191:D199">
    <cfRule type="expression" dxfId="117" priority="32" stopIfTrue="1">
      <formula>LEN($A191)&gt;1</formula>
    </cfRule>
    <cfRule type="expression" dxfId="116" priority="33" stopIfTrue="1">
      <formula>LEN($B191)&gt;1</formula>
    </cfRule>
    <cfRule type="expression" dxfId="115" priority="31" stopIfTrue="1">
      <formula>$D191 = "OGÓŁEM:"</formula>
    </cfRule>
  </conditionalFormatting>
  <conditionalFormatting sqref="A72:E73 A74:D74">
    <cfRule type="expression" dxfId="114" priority="10" stopIfTrue="1">
      <formula>$D72 = "OGÓŁEM:"</formula>
    </cfRule>
    <cfRule type="expression" dxfId="113" priority="11" stopIfTrue="1">
      <formula>LEN($A72)&gt;1</formula>
    </cfRule>
    <cfRule type="expression" dxfId="112" priority="12" stopIfTrue="1">
      <formula>LEN($B72)&gt;1</formula>
    </cfRule>
  </conditionalFormatting>
  <conditionalFormatting sqref="A150:E150">
    <cfRule type="expression" dxfId="111" priority="21" stopIfTrue="1">
      <formula>LEN($B150)&gt;1</formula>
    </cfRule>
    <cfRule type="expression" dxfId="110" priority="20" stopIfTrue="1">
      <formula>LEN($A150)&gt;1</formula>
    </cfRule>
    <cfRule type="expression" dxfId="109" priority="19" stopIfTrue="1">
      <formula>$D150 = "OGÓŁEM:"</formula>
    </cfRule>
  </conditionalFormatting>
  <conditionalFormatting sqref="A9:H11 A15:C15 A21:D21 C78:C79 A90:C90 A94:C94 A97:C97 A108:C108 A120:C120 A126:C127 A190:C190">
    <cfRule type="expression" dxfId="108" priority="231" stopIfTrue="1">
      <formula>LEN($B9)&gt;1</formula>
    </cfRule>
    <cfRule type="expression" dxfId="107" priority="230" stopIfTrue="1">
      <formula>LEN($A9)&gt;1</formula>
    </cfRule>
    <cfRule type="expression" dxfId="106" priority="229" stopIfTrue="1">
      <formula>$D9 = "OGÓŁEM:"</formula>
    </cfRule>
  </conditionalFormatting>
  <conditionalFormatting sqref="A13:H14">
    <cfRule type="expression" dxfId="105" priority="227" stopIfTrue="1">
      <formula>LEN($A13)&gt;1</formula>
    </cfRule>
    <cfRule type="expression" dxfId="104" priority="226" stopIfTrue="1">
      <formula>$D13 = "OGÓŁEM:"</formula>
    </cfRule>
    <cfRule type="expression" dxfId="103" priority="228" stopIfTrue="1">
      <formula>LEN($B13)&gt;1</formula>
    </cfRule>
  </conditionalFormatting>
  <conditionalFormatting sqref="A16:H17 F19:H19 A20:H20 A22:C24 A81:C81 A121:D125 A131:C134 A157:C157 E160:H160 G161:H161 A167:C167 A169:C171 A180:C187 A200:C205">
    <cfRule type="expression" dxfId="102" priority="219" stopIfTrue="1">
      <formula>LEN($B16)&gt;1</formula>
    </cfRule>
    <cfRule type="expression" dxfId="101" priority="218" stopIfTrue="1">
      <formula>LEN($A16)&gt;1</formula>
    </cfRule>
    <cfRule type="expression" dxfId="100" priority="217" stopIfTrue="1">
      <formula>$D16 = "OGÓŁEM:"</formula>
    </cfRule>
  </conditionalFormatting>
  <conditionalFormatting sqref="A28:H28">
    <cfRule type="expression" dxfId="99" priority="213" stopIfTrue="1">
      <formula>LEN($B28)&gt;1</formula>
    </cfRule>
    <cfRule type="expression" dxfId="98" priority="212" stopIfTrue="1">
      <formula>LEN($A28)&gt;1</formula>
    </cfRule>
    <cfRule type="expression" dxfId="97" priority="211" stopIfTrue="1">
      <formula>$D28 = "OGÓŁEM:"</formula>
    </cfRule>
  </conditionalFormatting>
  <conditionalFormatting sqref="A75:H77">
    <cfRule type="expression" dxfId="96" priority="210" stopIfTrue="1">
      <formula>LEN($B75)&gt;1</formula>
    </cfRule>
    <cfRule type="expression" dxfId="95" priority="208" stopIfTrue="1">
      <formula>$D75 = "OGÓŁEM:"</formula>
    </cfRule>
    <cfRule type="expression" dxfId="94" priority="209" stopIfTrue="1">
      <formula>LEN($A75)&gt;1</formula>
    </cfRule>
  </conditionalFormatting>
  <conditionalFormatting sqref="A88:H89">
    <cfRule type="expression" dxfId="93" priority="199" stopIfTrue="1">
      <formula>$D88 = "OGÓŁEM:"</formula>
    </cfRule>
    <cfRule type="expression" dxfId="92" priority="200" stopIfTrue="1">
      <formula>LEN($A88)&gt;1</formula>
    </cfRule>
    <cfRule type="expression" dxfId="91" priority="201" stopIfTrue="1">
      <formula>LEN($B88)&gt;1</formula>
    </cfRule>
  </conditionalFormatting>
  <conditionalFormatting sqref="A98:H99">
    <cfRule type="expression" dxfId="90" priority="49" stopIfTrue="1">
      <formula>$D98 = "OGÓŁEM:"</formula>
    </cfRule>
    <cfRule type="expression" dxfId="89" priority="50" stopIfTrue="1">
      <formula>LEN($A98)&gt;1</formula>
    </cfRule>
    <cfRule type="expression" dxfId="88" priority="51" stopIfTrue="1">
      <formula>LEN($B98)&gt;1</formula>
    </cfRule>
  </conditionalFormatting>
  <conditionalFormatting sqref="A109:H109">
    <cfRule type="expression" dxfId="87" priority="186" stopIfTrue="1">
      <formula>LEN($B109)&gt;1</formula>
    </cfRule>
    <cfRule type="expression" dxfId="86" priority="185" stopIfTrue="1">
      <formula>LEN($A109)&gt;1</formula>
    </cfRule>
    <cfRule type="expression" dxfId="85" priority="184" stopIfTrue="1">
      <formula>$D109 = "OGÓŁEM:"</formula>
    </cfRule>
  </conditionalFormatting>
  <conditionalFormatting sqref="A115:H116">
    <cfRule type="expression" dxfId="84" priority="3" stopIfTrue="1">
      <formula>LEN($B115)&gt;1</formula>
    </cfRule>
    <cfRule type="expression" dxfId="83" priority="1" stopIfTrue="1">
      <formula>$D115 = "OGÓŁEM:"</formula>
    </cfRule>
    <cfRule type="expression" dxfId="82" priority="2" stopIfTrue="1">
      <formula>LEN($A115)&gt;1</formula>
    </cfRule>
  </conditionalFormatting>
  <conditionalFormatting sqref="A145:H147">
    <cfRule type="expression" dxfId="81" priority="129" stopIfTrue="1">
      <formula>LEN($B145)&gt;1</formula>
    </cfRule>
    <cfRule type="expression" dxfId="80" priority="128" stopIfTrue="1">
      <formula>LEN($A145)&gt;1</formula>
    </cfRule>
    <cfRule type="expression" dxfId="79" priority="127" stopIfTrue="1">
      <formula>$D145 = "OGÓŁEM:"</formula>
    </cfRule>
  </conditionalFormatting>
  <conditionalFormatting sqref="A149:H149">
    <cfRule type="expression" dxfId="78" priority="16" stopIfTrue="1">
      <formula>$D149 = "OGÓŁEM:"</formula>
    </cfRule>
    <cfRule type="expression" dxfId="77" priority="17" stopIfTrue="1">
      <formula>LEN($A149)&gt;1</formula>
    </cfRule>
    <cfRule type="expression" dxfId="76" priority="18" stopIfTrue="1">
      <formula>LEN($B149)&gt;1</formula>
    </cfRule>
  </conditionalFormatting>
  <conditionalFormatting sqref="A158:H159">
    <cfRule type="expression" dxfId="75" priority="39" stopIfTrue="1">
      <formula>LEN($B158)&gt;1</formula>
    </cfRule>
    <cfRule type="expression" dxfId="74" priority="38" stopIfTrue="1">
      <formula>LEN($A158)&gt;1</formula>
    </cfRule>
    <cfRule type="expression" dxfId="73" priority="37" stopIfTrue="1">
      <formula>$D158 = "OGÓŁEM:"</formula>
    </cfRule>
  </conditionalFormatting>
  <conditionalFormatting sqref="A188:H188">
    <cfRule type="expression" dxfId="72" priority="144" stopIfTrue="1">
      <formula>LEN($B188)&gt;1</formula>
    </cfRule>
    <cfRule type="expression" dxfId="71" priority="142" stopIfTrue="1">
      <formula>$D188 = "OGÓŁEM:"</formula>
    </cfRule>
    <cfRule type="expression" dxfId="70" priority="143" stopIfTrue="1">
      <formula>LEN($A188)&gt;1</formula>
    </cfRule>
  </conditionalFormatting>
  <conditionalFormatting sqref="A206:H206">
    <cfRule type="expression" dxfId="69" priority="135" stopIfTrue="1">
      <formula>LEN($B206)&gt;1</formula>
    </cfRule>
    <cfRule type="expression" dxfId="68" priority="133" stopIfTrue="1">
      <formula>$D206 = "OGÓŁEM:"</formula>
    </cfRule>
    <cfRule type="expression" dxfId="67" priority="134" stopIfTrue="1">
      <formula>LEN($A206)&gt;1</formula>
    </cfRule>
  </conditionalFormatting>
  <conditionalFormatting sqref="C25">
    <cfRule type="expression" dxfId="66" priority="256" stopIfTrue="1">
      <formula>$D25 = "OGÓŁEM:"</formula>
    </cfRule>
    <cfRule type="expression" dxfId="65" priority="257" stopIfTrue="1">
      <formula>LEN(#REF!)&gt;1</formula>
    </cfRule>
    <cfRule type="expression" dxfId="64" priority="258" stopIfTrue="1">
      <formula>LEN(#REF!)&gt;1</formula>
    </cfRule>
  </conditionalFormatting>
  <conditionalFormatting sqref="C80:D80">
    <cfRule type="expression" dxfId="63" priority="207" stopIfTrue="1">
      <formula>LEN($B80)&gt;1</formula>
    </cfRule>
    <cfRule type="expression" dxfId="62" priority="206" stopIfTrue="1">
      <formula>LEN($A80)&gt;1</formula>
    </cfRule>
    <cfRule type="expression" dxfId="61" priority="205" stopIfTrue="1">
      <formula>$D80 = "OGÓŁEM:"</formula>
    </cfRule>
  </conditionalFormatting>
  <conditionalFormatting sqref="C100:D100">
    <cfRule type="expression" dxfId="60" priority="299" stopIfTrue="1">
      <formula>LEN($A110)&gt;1</formula>
    </cfRule>
    <cfRule type="expression" dxfId="59" priority="300" stopIfTrue="1">
      <formula>LEN($B110)&gt;1</formula>
    </cfRule>
  </conditionalFormatting>
  <conditionalFormatting sqref="C100:D102">
    <cfRule type="expression" dxfId="58" priority="43" stopIfTrue="1">
      <formula>$D100 = "OGÓŁEM:"</formula>
    </cfRule>
  </conditionalFormatting>
  <conditionalFormatting sqref="C101:D101">
    <cfRule type="expression" dxfId="57" priority="308" stopIfTrue="1">
      <formula>LEN(#REF!)&gt;1</formula>
    </cfRule>
    <cfRule type="expression" dxfId="56" priority="309" stopIfTrue="1">
      <formula>LEN(#REF!)&gt;1</formula>
    </cfRule>
  </conditionalFormatting>
  <conditionalFormatting sqref="C102:D102">
    <cfRule type="expression" dxfId="55" priority="45" stopIfTrue="1">
      <formula>LEN($B102)&gt;1</formula>
    </cfRule>
    <cfRule type="expression" dxfId="54" priority="44" stopIfTrue="1">
      <formula>LEN($A102)&gt;1</formula>
    </cfRule>
  </conditionalFormatting>
  <conditionalFormatting sqref="C110:D110">
    <cfRule type="expression" dxfId="53" priority="322" stopIfTrue="1">
      <formula>$D110 = "OGÓŁEM:"</formula>
    </cfRule>
    <cfRule type="expression" dxfId="52" priority="323" stopIfTrue="1">
      <formula>LEN($A119)&gt;1</formula>
    </cfRule>
    <cfRule type="expression" dxfId="51" priority="324" stopIfTrue="1">
      <formula>LEN($B119)&gt;1</formula>
    </cfRule>
  </conditionalFormatting>
  <conditionalFormatting sqref="C136:D136">
    <cfRule type="expression" dxfId="50" priority="56" stopIfTrue="1">
      <formula>LEN($A136)&gt;1</formula>
    </cfRule>
    <cfRule type="expression" dxfId="49" priority="57" stopIfTrue="1">
      <formula>LEN($B136)&gt;1</formula>
    </cfRule>
    <cfRule type="expression" dxfId="48" priority="55" stopIfTrue="1">
      <formula>$D136 = "OGÓŁEM:"</formula>
    </cfRule>
  </conditionalFormatting>
  <conditionalFormatting sqref="D79">
    <cfRule type="expression" dxfId="47" priority="23" stopIfTrue="1">
      <formula>LEN($A79)&gt;1</formula>
    </cfRule>
    <cfRule type="expression" dxfId="46" priority="24" stopIfTrue="1">
      <formula>LEN($B79)&gt;1</formula>
    </cfRule>
    <cfRule type="expression" dxfId="45" priority="22" stopIfTrue="1">
      <formula>$D79 = "OGÓŁEM:"</formula>
    </cfRule>
  </conditionalFormatting>
  <conditionalFormatting sqref="D163">
    <cfRule type="expression" dxfId="44" priority="29" stopIfTrue="1">
      <formula>LEN($A163)&gt;1</formula>
    </cfRule>
    <cfRule type="expression" dxfId="43" priority="28" stopIfTrue="1">
      <formula>$D163 = "OGÓŁEM:"</formula>
    </cfRule>
    <cfRule type="expression" dxfId="42" priority="30" stopIfTrue="1">
      <formula>LEN($B163)&gt;1</formula>
    </cfRule>
  </conditionalFormatting>
  <conditionalFormatting sqref="D141:H141">
    <cfRule type="expression" dxfId="41" priority="113" stopIfTrue="1">
      <formula>LEN($A141)&gt;1</formula>
    </cfRule>
    <cfRule type="expression" dxfId="40" priority="114" stopIfTrue="1">
      <formula>LEN($B141)&gt;1</formula>
    </cfRule>
    <cfRule type="expression" dxfId="39" priority="112" stopIfTrue="1">
      <formula>$D141 = "OGÓŁEM:"</formula>
    </cfRule>
  </conditionalFormatting>
  <conditionalFormatting sqref="E82:H82">
    <cfRule type="expression" dxfId="38" priority="202" stopIfTrue="1">
      <formula>$D82 = "OGÓŁEM:"</formula>
    </cfRule>
    <cfRule type="expression" dxfId="37" priority="203" stopIfTrue="1">
      <formula>LEN($A82)&gt;1</formula>
    </cfRule>
    <cfRule type="expression" dxfId="36" priority="204" stopIfTrue="1">
      <formula>LEN($B82)&gt;1</formula>
    </cfRule>
  </conditionalFormatting>
  <conditionalFormatting sqref="E91:H92 A91:D93">
    <cfRule type="expression" dxfId="35" priority="196" stopIfTrue="1">
      <formula>$D91 = "OGÓŁEM:"</formula>
    </cfRule>
    <cfRule type="expression" dxfId="34" priority="197" stopIfTrue="1">
      <formula>LEN($A91)&gt;1</formula>
    </cfRule>
    <cfRule type="expression" dxfId="33" priority="198" stopIfTrue="1">
      <formula>LEN($B91)&gt;1</formula>
    </cfRule>
  </conditionalFormatting>
  <conditionalFormatting sqref="E104:H105">
    <cfRule type="expression" dxfId="32" priority="195" stopIfTrue="1">
      <formula>LEN($B104)&gt;1</formula>
    </cfRule>
    <cfRule type="expression" dxfId="31" priority="194" stopIfTrue="1">
      <formula>LEN($A104)&gt;1</formula>
    </cfRule>
    <cfRule type="expression" dxfId="30" priority="193" stopIfTrue="1">
      <formula>$D104 = "OGÓŁEM:"</formula>
    </cfRule>
  </conditionalFormatting>
  <conditionalFormatting sqref="E114:H114 G117:H117 E118:H118">
    <cfRule type="expression" dxfId="29" priority="182" stopIfTrue="1">
      <formula>LEN($A114)&gt;1</formula>
    </cfRule>
    <cfRule type="expression" dxfId="28" priority="183" stopIfTrue="1">
      <formula>LEN($B114)&gt;1</formula>
    </cfRule>
    <cfRule type="expression" dxfId="27" priority="181" stopIfTrue="1">
      <formula>$D114 = "OGÓŁEM:"</formula>
    </cfRule>
  </conditionalFormatting>
  <conditionalFormatting sqref="E121:H121 E124:H124">
    <cfRule type="expression" dxfId="26" priority="179" stopIfTrue="1">
      <formula>LEN($A121)&gt;1</formula>
    </cfRule>
    <cfRule type="expression" dxfId="25" priority="180" stopIfTrue="1">
      <formula>LEN($B121)&gt;1</formula>
    </cfRule>
    <cfRule type="expression" dxfId="24" priority="178" stopIfTrue="1">
      <formula>$D121 = "OGÓŁEM:"</formula>
    </cfRule>
  </conditionalFormatting>
  <conditionalFormatting sqref="E128:H129 A128:D130">
    <cfRule type="expression" dxfId="23" priority="175" stopIfTrue="1">
      <formula>$D128 = "OGÓŁEM:"</formula>
    </cfRule>
    <cfRule type="expression" dxfId="22" priority="177" stopIfTrue="1">
      <formula>LEN($B128)&gt;1</formula>
    </cfRule>
    <cfRule type="expression" dxfId="21" priority="176" stopIfTrue="1">
      <formula>LEN($A128)&gt;1</formula>
    </cfRule>
  </conditionalFormatting>
  <conditionalFormatting sqref="E152:H152 A152:D153">
    <cfRule type="expression" dxfId="20" priority="166" stopIfTrue="1">
      <formula>$D152 = "OGÓŁEM:"</formula>
    </cfRule>
    <cfRule type="expression" dxfId="19" priority="167" stopIfTrue="1">
      <formula>LEN($A152)&gt;1</formula>
    </cfRule>
    <cfRule type="expression" dxfId="18" priority="168" stopIfTrue="1">
      <formula>LEN($B152)&gt;1</formula>
    </cfRule>
  </conditionalFormatting>
  <conditionalFormatting sqref="E155:H155 A155:D156">
    <cfRule type="expression" dxfId="17" priority="163" stopIfTrue="1">
      <formula>$D155 = "OGÓŁEM:"</formula>
    </cfRule>
    <cfRule type="expression" dxfId="16" priority="164" stopIfTrue="1">
      <formula>LEN($A155)&gt;1</formula>
    </cfRule>
    <cfRule type="expression" dxfId="15" priority="165" stopIfTrue="1">
      <formula>LEN($B155)&gt;1</formula>
    </cfRule>
  </conditionalFormatting>
  <conditionalFormatting sqref="E162:H162">
    <cfRule type="expression" dxfId="14" priority="157" stopIfTrue="1">
      <formula>$D162 = "OGÓŁEM:"</formula>
    </cfRule>
    <cfRule type="expression" dxfId="13" priority="158" stopIfTrue="1">
      <formula>LEN($A162)&gt;1</formula>
    </cfRule>
    <cfRule type="expression" dxfId="12" priority="159" stopIfTrue="1">
      <formula>LEN($B162)&gt;1</formula>
    </cfRule>
  </conditionalFormatting>
  <conditionalFormatting sqref="E172:H173 A172:D174">
    <cfRule type="expression" dxfId="11" priority="149" stopIfTrue="1">
      <formula>LEN($A172)&gt;1</formula>
    </cfRule>
    <cfRule type="expression" dxfId="10" priority="148" stopIfTrue="1">
      <formula>$D172 = "OGÓŁEM:"</formula>
    </cfRule>
    <cfRule type="expression" dxfId="9" priority="150" stopIfTrue="1">
      <formula>LEN($B172)&gt;1</formula>
    </cfRule>
  </conditionalFormatting>
  <conditionalFormatting sqref="E193:H193">
    <cfRule type="expression" dxfId="8" priority="140" stopIfTrue="1">
      <formula>LEN($A193)&gt;1</formula>
    </cfRule>
    <cfRule type="expression" dxfId="7" priority="139" stopIfTrue="1">
      <formula>$D193 = "OGÓŁEM:"</formula>
    </cfRule>
    <cfRule type="expression" dxfId="6" priority="141" stopIfTrue="1">
      <formula>LEN($B193)&gt;1</formula>
    </cfRule>
  </conditionalFormatting>
  <conditionalFormatting sqref="F72:H72">
    <cfRule type="expression" dxfId="5" priority="14" stopIfTrue="1">
      <formula>LEN($A72)&gt;1</formula>
    </cfRule>
    <cfRule type="expression" dxfId="4" priority="15" stopIfTrue="1">
      <formula>LEN($B72)&gt;1</formula>
    </cfRule>
    <cfRule type="expression" dxfId="3" priority="13" stopIfTrue="1">
      <formula>$D72 = "OGÓŁEM:"</formula>
    </cfRule>
  </conditionalFormatting>
  <conditionalFormatting sqref="F95:H95 A95:E96">
    <cfRule type="expression" dxfId="2" priority="25" stopIfTrue="1">
      <formula>$D95 = "OGÓŁEM:"</formula>
    </cfRule>
    <cfRule type="expression" dxfId="1" priority="26" stopIfTrue="1">
      <formula>LEN($A95)&gt;1</formula>
    </cfRule>
    <cfRule type="expression" dxfId="0" priority="27" stopIfTrue="1">
      <formula>LEN($B95)&gt;1</formula>
    </cfRule>
  </conditionalFormatting>
  <pageMargins left="0.31496062992125984" right="0.31496062992125984" top="1.1417322834645669" bottom="0.55118110236220474" header="0.31496062992125984" footer="0.31496062992125984"/>
  <pageSetup paperSize="9" scale="74" orientation="portrait" r:id="rId1"/>
  <headerFooter>
    <oddHeader xml:space="preserve">&amp;RZałącznik Nr 1
do Uchwały Nr XXII/..../2025 
Rady Gminy Komorniki z dnia 16 czerwca 2025r.    
w sprawie uchwały budżetowej na 2025r.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inwestycje(2c)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2022-02-14T00:04:27Z</dcterms:created>
  <dcterms:modified xsi:type="dcterms:W3CDTF">2025-06-11T06:41:42Z</dcterms:modified>
</cp:coreProperties>
</file>