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en_skoroszyt"/>
  <xr:revisionPtr revIDLastSave="0" documentId="13_ncr:1_{FE940288-CA6D-4220-B8BF-75524903AA8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ochody(1)" sheetId="1" r:id="rId1"/>
    <sheet name="Dochody-zlecone(1a)" sheetId="11" r:id="rId2"/>
    <sheet name="dochody majątkowe(1B)" sheetId="18" r:id="rId3"/>
    <sheet name="Wydatki(2)" sheetId="2" r:id="rId4"/>
    <sheet name="Wydatki-zlecone(2a)" sheetId="12" r:id="rId5"/>
    <sheet name="wydatki-majątkowe(2b)" sheetId="5" r:id="rId6"/>
    <sheet name="inwestycje(2c)" sheetId="23" r:id="rId7"/>
    <sheet name="dotacje(4)" sheetId="15" r:id="rId8"/>
    <sheet name="sołtysi(6)" sheetId="26" r:id="rId9"/>
    <sheet name="środki europ(7)" sheetId="25" r:id="rId10"/>
    <sheet name="COVID19(8)" sheetId="28" r:id="rId11"/>
    <sheet name="Fundusz Pomocy (9)" sheetId="22" r:id="rId12"/>
  </sheets>
  <definedNames>
    <definedName name="_xlnm._FilterDatabase" localSheetId="3" hidden="1">'Wydatki(2)'!$A$5:$E$645</definedName>
    <definedName name="_xlnm.Print_Titles" localSheetId="0">'Dochody(1)'!$1:$1</definedName>
    <definedName name="_xlnm.Print_Titles" localSheetId="3">'Wydatki(2)'!$1:$2</definedName>
    <definedName name="_xlnm.Print_Titles" localSheetId="5">'wydatki-majątkowe(2b)'!$1:$1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5" l="1"/>
  <c r="F210" i="2"/>
  <c r="F38" i="22"/>
  <c r="G37" i="22"/>
  <c r="E52" i="15"/>
  <c r="E42" i="15"/>
  <c r="F346" i="2"/>
  <c r="E41" i="15" l="1"/>
  <c r="G201" i="23"/>
  <c r="G120" i="23"/>
  <c r="F114" i="25"/>
  <c r="H15" i="23"/>
  <c r="H146" i="23"/>
  <c r="H148" i="23"/>
  <c r="G148" i="23"/>
  <c r="G297" i="2"/>
  <c r="F227" i="2"/>
  <c r="H111" i="12"/>
  <c r="H110" i="12"/>
  <c r="F73" i="25"/>
  <c r="F70" i="25"/>
  <c r="F69" i="25"/>
  <c r="F68" i="25"/>
  <c r="F67" i="25"/>
  <c r="F66" i="25"/>
  <c r="F58" i="5" l="1"/>
  <c r="G58" i="5"/>
  <c r="H58" i="5"/>
  <c r="E58" i="5"/>
  <c r="H60" i="5"/>
  <c r="G108" i="12"/>
  <c r="F108" i="12"/>
  <c r="H109" i="12"/>
  <c r="H108" i="12" s="1"/>
  <c r="G109" i="12"/>
  <c r="F109" i="12"/>
  <c r="E109" i="12"/>
  <c r="E108" i="12" s="1"/>
  <c r="H76" i="11"/>
  <c r="H75" i="11" s="1"/>
  <c r="H74" i="11" s="1"/>
  <c r="G75" i="11"/>
  <c r="F75" i="11"/>
  <c r="E75" i="11"/>
  <c r="E74" i="11" s="1"/>
  <c r="G74" i="11"/>
  <c r="F74" i="11"/>
  <c r="F11" i="25"/>
  <c r="F51" i="25"/>
  <c r="G39" i="5"/>
  <c r="G20" i="18"/>
  <c r="G148" i="2"/>
  <c r="G58" i="1"/>
  <c r="G107" i="23"/>
  <c r="G104" i="23"/>
  <c r="H103" i="23"/>
  <c r="F589" i="2"/>
  <c r="F588" i="2"/>
  <c r="G549" i="2"/>
  <c r="G548" i="2"/>
  <c r="G594" i="2"/>
  <c r="G592" i="2"/>
  <c r="H15" i="26"/>
  <c r="H16" i="26"/>
  <c r="H18" i="26"/>
  <c r="H19" i="26"/>
  <c r="H27" i="26"/>
  <c r="E26" i="26"/>
  <c r="E19" i="26"/>
  <c r="E18" i="26"/>
  <c r="D19" i="26"/>
  <c r="D20" i="26"/>
  <c r="D26" i="26"/>
  <c r="D16" i="26"/>
  <c r="D15" i="26"/>
  <c r="H175" i="23"/>
  <c r="H174" i="23"/>
  <c r="H177" i="23" l="1"/>
  <c r="H130" i="23"/>
  <c r="H139" i="23"/>
  <c r="H191" i="23"/>
  <c r="G177" i="23"/>
  <c r="H221" i="23"/>
  <c r="H197" i="23"/>
  <c r="H196" i="23"/>
  <c r="H98" i="23"/>
  <c r="H106" i="23"/>
  <c r="H107" i="23"/>
  <c r="H90" i="23"/>
  <c r="H67" i="23"/>
  <c r="H48" i="23"/>
  <c r="H42" i="23"/>
  <c r="H39" i="23"/>
  <c r="H38" i="23"/>
  <c r="H37" i="23"/>
  <c r="H29" i="23"/>
  <c r="G29" i="23"/>
  <c r="F49" i="12"/>
  <c r="G49" i="12"/>
  <c r="H54" i="12"/>
  <c r="H55" i="12"/>
  <c r="F65" i="25"/>
  <c r="F64" i="25"/>
  <c r="F52" i="25"/>
  <c r="F14" i="25"/>
  <c r="F12" i="25"/>
  <c r="F53" i="28"/>
  <c r="G53" i="28"/>
  <c r="H53" i="28"/>
  <c r="E53" i="28"/>
  <c r="H54" i="28"/>
  <c r="F175" i="2"/>
  <c r="H580" i="2"/>
  <c r="F578" i="2"/>
  <c r="H578" i="2" s="1"/>
  <c r="F577" i="2"/>
  <c r="H577" i="2" s="1"/>
  <c r="H27" i="2"/>
  <c r="H488" i="2"/>
  <c r="H480" i="2"/>
  <c r="F478" i="2"/>
  <c r="G478" i="2"/>
  <c r="H143" i="2"/>
  <c r="G149" i="2"/>
  <c r="H606" i="2"/>
  <c r="F177" i="2"/>
  <c r="F402" i="2"/>
  <c r="G402" i="2"/>
  <c r="H408" i="2"/>
  <c r="H407" i="2"/>
  <c r="F232" i="2"/>
  <c r="F332" i="2"/>
  <c r="G332" i="2"/>
  <c r="H353" i="2"/>
  <c r="H356" i="2"/>
  <c r="H187" i="1"/>
  <c r="F46" i="18"/>
  <c r="H42" i="18"/>
  <c r="H15" i="2"/>
  <c r="F199" i="1"/>
  <c r="G199" i="1"/>
  <c r="H201" i="1"/>
  <c r="H143" i="1"/>
  <c r="F57" i="1"/>
  <c r="F120" i="1"/>
  <c r="E120" i="1"/>
  <c r="F185" i="1"/>
  <c r="G185" i="1"/>
  <c r="F195" i="1"/>
  <c r="H70" i="1"/>
  <c r="E231" i="2"/>
  <c r="E232" i="2"/>
  <c r="E519" i="2"/>
  <c r="E518" i="2"/>
  <c r="E517" i="2"/>
  <c r="E516" i="2"/>
  <c r="E514" i="2"/>
  <c r="E530" i="2"/>
  <c r="E549" i="2"/>
  <c r="E565" i="2"/>
  <c r="E591" i="2"/>
  <c r="E594" i="2"/>
  <c r="E609" i="2"/>
  <c r="E615" i="2"/>
  <c r="E507" i="2"/>
  <c r="E503" i="2"/>
  <c r="E502" i="2"/>
  <c r="E500" i="2"/>
  <c r="E498" i="2"/>
  <c r="E497" i="2"/>
  <c r="E496" i="2"/>
  <c r="E495" i="2"/>
  <c r="E494" i="2"/>
  <c r="E474" i="2"/>
  <c r="E473" i="2"/>
  <c r="E472" i="2"/>
  <c r="E467" i="2"/>
  <c r="E452" i="2"/>
  <c r="E450" i="2"/>
  <c r="E442" i="2"/>
  <c r="E419" i="2"/>
  <c r="E418" i="2"/>
  <c r="E411" i="2"/>
  <c r="E406" i="2"/>
  <c r="E405" i="2"/>
  <c r="E404" i="2"/>
  <c r="E403" i="2"/>
  <c r="E334" i="2"/>
  <c r="E333" i="2"/>
  <c r="E319" i="2"/>
  <c r="E318" i="2"/>
  <c r="E315" i="2"/>
  <c r="E314" i="2"/>
  <c r="E313" i="2"/>
  <c r="E312" i="2"/>
  <c r="E326" i="2"/>
  <c r="E299" i="2"/>
  <c r="E298" i="2"/>
  <c r="E295" i="2"/>
  <c r="E294" i="2"/>
  <c r="E293" i="2"/>
  <c r="E302" i="2"/>
  <c r="E263" i="2"/>
  <c r="E264" i="2"/>
  <c r="E266" i="2"/>
  <c r="E267" i="2"/>
  <c r="E269" i="2"/>
  <c r="E270" i="2"/>
  <c r="E273" i="2"/>
  <c r="E274" i="2"/>
  <c r="E276" i="2"/>
  <c r="E281" i="2"/>
  <c r="E285" i="2"/>
  <c r="E286" i="2"/>
  <c r="E257" i="2"/>
  <c r="E250" i="2"/>
  <c r="E241" i="2"/>
  <c r="E240" i="2"/>
  <c r="E239" i="2"/>
  <c r="E235" i="2"/>
  <c r="E229" i="2"/>
  <c r="E228" i="2"/>
  <c r="E227" i="2"/>
  <c r="E226" i="2"/>
  <c r="E224" i="2"/>
  <c r="E223" i="2"/>
  <c r="E221" i="2"/>
  <c r="E220" i="2"/>
  <c r="E205" i="2"/>
  <c r="E147" i="2"/>
  <c r="E146" i="2"/>
  <c r="E89" i="2"/>
  <c r="E88" i="2"/>
  <c r="E86" i="2"/>
  <c r="E85" i="2"/>
  <c r="E84" i="2"/>
  <c r="E76" i="2"/>
  <c r="E62" i="2"/>
  <c r="E61" i="2"/>
  <c r="E46" i="2"/>
  <c r="E48" i="2"/>
  <c r="E52" i="2"/>
  <c r="E51" i="2"/>
  <c r="E25" i="2"/>
  <c r="E24" i="2"/>
  <c r="E23" i="2"/>
  <c r="E22" i="2"/>
  <c r="E21" i="2"/>
  <c r="E20" i="2"/>
  <c r="E19" i="2"/>
  <c r="E7" i="2"/>
  <c r="E37" i="22"/>
  <c r="E36" i="22"/>
  <c r="E33" i="22"/>
  <c r="E32" i="22"/>
  <c r="E19" i="22"/>
  <c r="E16" i="22"/>
  <c r="E46" i="28"/>
  <c r="E45" i="28"/>
  <c r="E20" i="28"/>
  <c r="E21" i="5"/>
  <c r="E26" i="5"/>
  <c r="E25" i="5"/>
  <c r="E33" i="5"/>
  <c r="E91" i="5"/>
  <c r="E76" i="12"/>
  <c r="E72" i="12"/>
  <c r="E71" i="12"/>
  <c r="E69" i="12"/>
  <c r="E67" i="12"/>
  <c r="E66" i="12"/>
  <c r="E65" i="12"/>
  <c r="E64" i="12"/>
  <c r="E63" i="12"/>
  <c r="E81" i="12"/>
  <c r="E53" i="12"/>
  <c r="E52" i="12"/>
  <c r="E51" i="12"/>
  <c r="E50" i="12"/>
  <c r="E47" i="12"/>
  <c r="E19" i="12"/>
  <c r="E18" i="12"/>
  <c r="E17" i="12"/>
  <c r="E14" i="12"/>
  <c r="E13" i="12"/>
  <c r="E11" i="12"/>
  <c r="E12" i="12"/>
  <c r="E10" i="12"/>
  <c r="E9" i="12"/>
  <c r="E8" i="12"/>
  <c r="E35" i="11"/>
  <c r="E31" i="11"/>
  <c r="E26" i="11"/>
  <c r="E23" i="11"/>
  <c r="E13" i="11"/>
  <c r="E10" i="11"/>
  <c r="E195" i="1"/>
  <c r="E206" i="1"/>
  <c r="E200" i="1"/>
  <c r="E199" i="1" s="1"/>
  <c r="E182" i="1"/>
  <c r="E174" i="1"/>
  <c r="E163" i="1"/>
  <c r="E161" i="1"/>
  <c r="E138" i="1"/>
  <c r="E141" i="1"/>
  <c r="E118" i="1"/>
  <c r="E57" i="1"/>
  <c r="E51" i="1"/>
  <c r="E10" i="1"/>
  <c r="F76" i="25" l="1"/>
  <c r="E49" i="12"/>
  <c r="E402" i="2"/>
  <c r="G208" i="23"/>
  <c r="G50" i="2"/>
  <c r="F50" i="2"/>
  <c r="H51" i="2"/>
  <c r="G192" i="23"/>
  <c r="H62" i="12"/>
  <c r="G64" i="23"/>
  <c r="G44" i="23"/>
  <c r="E26" i="15"/>
  <c r="H209" i="23"/>
  <c r="E16" i="26" l="1"/>
  <c r="F608" i="2" l="1"/>
  <c r="G608" i="2"/>
  <c r="E608" i="2"/>
  <c r="H609" i="2"/>
  <c r="H608" i="2" s="1"/>
  <c r="F217" i="2"/>
  <c r="H94" i="23"/>
  <c r="H81" i="23"/>
  <c r="G81" i="23"/>
  <c r="H64" i="12"/>
  <c r="H65" i="12"/>
  <c r="H66" i="12"/>
  <c r="H67" i="12"/>
  <c r="H68" i="12"/>
  <c r="H69" i="12"/>
  <c r="H70" i="12"/>
  <c r="H71" i="12"/>
  <c r="H72" i="12"/>
  <c r="H75" i="12"/>
  <c r="H76" i="12"/>
  <c r="F61" i="12"/>
  <c r="G61" i="12"/>
  <c r="H51" i="12"/>
  <c r="H52" i="12"/>
  <c r="H53" i="12"/>
  <c r="H50" i="12"/>
  <c r="H313" i="2"/>
  <c r="H317" i="2"/>
  <c r="H265" i="2"/>
  <c r="H268" i="2"/>
  <c r="H270" i="2"/>
  <c r="H272" i="2"/>
  <c r="H274" i="2"/>
  <c r="H278" i="2"/>
  <c r="H279" i="2"/>
  <c r="H282" i="2"/>
  <c r="H283" i="2"/>
  <c r="H284" i="2"/>
  <c r="H287" i="2"/>
  <c r="H288" i="2"/>
  <c r="H238" i="2"/>
  <c r="H239" i="2"/>
  <c r="H225" i="2"/>
  <c r="H226" i="2"/>
  <c r="H229" i="2"/>
  <c r="H233" i="2"/>
  <c r="H234" i="2"/>
  <c r="G217" i="2"/>
  <c r="F247" i="2"/>
  <c r="G247" i="2"/>
  <c r="G24" i="11"/>
  <c r="H26" i="11"/>
  <c r="H25" i="11" s="1"/>
  <c r="H24" i="11" s="1"/>
  <c r="G25" i="11"/>
  <c r="F25" i="11"/>
  <c r="F24" i="11" s="1"/>
  <c r="E25" i="11"/>
  <c r="E24" i="11" s="1"/>
  <c r="H181" i="1"/>
  <c r="F180" i="1"/>
  <c r="G180" i="1"/>
  <c r="H161" i="1"/>
  <c r="H160" i="1" s="1"/>
  <c r="F160" i="1"/>
  <c r="G160" i="1"/>
  <c r="E160" i="1"/>
  <c r="E53" i="15"/>
  <c r="E46" i="15"/>
  <c r="E45" i="15"/>
  <c r="E44" i="15"/>
  <c r="G152" i="23"/>
  <c r="F152" i="23"/>
  <c r="E152" i="23"/>
  <c r="H200" i="1"/>
  <c r="H199" i="1" s="1"/>
  <c r="H49" i="12" l="1"/>
  <c r="H549" i="2"/>
  <c r="H319" i="2"/>
  <c r="E644" i="2"/>
  <c r="H644" i="2" s="1"/>
  <c r="E638" i="2"/>
  <c r="H638" i="2" s="1"/>
  <c r="E636" i="2"/>
  <c r="E627" i="2"/>
  <c r="H627" i="2" s="1"/>
  <c r="E626" i="2"/>
  <c r="H626" i="2" s="1"/>
  <c r="H615" i="2"/>
  <c r="E612" i="2"/>
  <c r="H612" i="2" s="1"/>
  <c r="E605" i="2"/>
  <c r="H605" i="2" s="1"/>
  <c r="E596" i="2"/>
  <c r="H596" i="2" s="1"/>
  <c r="H594" i="2"/>
  <c r="E589" i="2"/>
  <c r="H589" i="2" s="1"/>
  <c r="E588" i="2"/>
  <c r="H588" i="2" s="1"/>
  <c r="E583" i="2"/>
  <c r="H583" i="2" s="1"/>
  <c r="E582" i="2"/>
  <c r="H582" i="2" s="1"/>
  <c r="E561" i="2"/>
  <c r="E558" i="2" s="1"/>
  <c r="E553" i="2"/>
  <c r="H553" i="2" s="1"/>
  <c r="E548" i="2"/>
  <c r="H548" i="2" s="1"/>
  <c r="E543" i="2"/>
  <c r="H543" i="2" s="1"/>
  <c r="H530" i="2"/>
  <c r="H529" i="2" s="1"/>
  <c r="E528" i="2"/>
  <c r="E527" i="2" s="1"/>
  <c r="H516" i="2"/>
  <c r="E515" i="2"/>
  <c r="H515" i="2" s="1"/>
  <c r="H514" i="2"/>
  <c r="H498" i="2"/>
  <c r="H495" i="2"/>
  <c r="H494" i="2"/>
  <c r="E484" i="2"/>
  <c r="H484" i="2" s="1"/>
  <c r="H483" i="2" s="1"/>
  <c r="E479" i="2"/>
  <c r="H473" i="2"/>
  <c r="H472" i="2"/>
  <c r="E471" i="2"/>
  <c r="H471" i="2" s="1"/>
  <c r="E464" i="2"/>
  <c r="H464" i="2" s="1"/>
  <c r="E437" i="2"/>
  <c r="H437" i="2" s="1"/>
  <c r="E436" i="2"/>
  <c r="H436" i="2" s="1"/>
  <c r="E434" i="2"/>
  <c r="H434" i="2" s="1"/>
  <c r="E433" i="2"/>
  <c r="H433" i="2" s="1"/>
  <c r="E432" i="2"/>
  <c r="H432" i="2" s="1"/>
  <c r="E430" i="2"/>
  <c r="H430" i="2" s="1"/>
  <c r="H429" i="2" s="1"/>
  <c r="E428" i="2"/>
  <c r="H428" i="2" s="1"/>
  <c r="H427" i="2" s="1"/>
  <c r="E425" i="2"/>
  <c r="H425" i="2" s="1"/>
  <c r="E417" i="2"/>
  <c r="H417" i="2" s="1"/>
  <c r="E416" i="2"/>
  <c r="H416" i="2" s="1"/>
  <c r="E415" i="2"/>
  <c r="H415" i="2" s="1"/>
  <c r="E414" i="2"/>
  <c r="H414" i="2" s="1"/>
  <c r="H406" i="2"/>
  <c r="H405" i="2"/>
  <c r="H403" i="2"/>
  <c r="E396" i="2"/>
  <c r="H396" i="2" s="1"/>
  <c r="E393" i="2"/>
  <c r="H393" i="2" s="1"/>
  <c r="E392" i="2"/>
  <c r="H392" i="2" s="1"/>
  <c r="E391" i="2"/>
  <c r="H391" i="2" s="1"/>
  <c r="E390" i="2"/>
  <c r="H390" i="2" s="1"/>
  <c r="E373" i="2"/>
  <c r="H373" i="2" s="1"/>
  <c r="E370" i="2"/>
  <c r="H370" i="2" s="1"/>
  <c r="E368" i="2"/>
  <c r="H368" i="2" s="1"/>
  <c r="E347" i="2"/>
  <c r="H347" i="2" s="1"/>
  <c r="E346" i="2"/>
  <c r="H346" i="2" s="1"/>
  <c r="E345" i="2"/>
  <c r="H345" i="2" s="1"/>
  <c r="E343" i="2"/>
  <c r="H343" i="2" s="1"/>
  <c r="H318" i="2"/>
  <c r="E316" i="2"/>
  <c r="H316" i="2" s="1"/>
  <c r="H315" i="2"/>
  <c r="H314" i="2"/>
  <c r="H312" i="2"/>
  <c r="H334" i="2"/>
  <c r="H299" i="2"/>
  <c r="H298" i="2"/>
  <c r="H295" i="2"/>
  <c r="H294" i="2"/>
  <c r="E307" i="2"/>
  <c r="H307" i="2" s="1"/>
  <c r="H286" i="2"/>
  <c r="E275" i="2"/>
  <c r="H275" i="2" s="1"/>
  <c r="H273" i="2"/>
  <c r="H269" i="2"/>
  <c r="H264" i="2"/>
  <c r="H257" i="2"/>
  <c r="E256" i="2"/>
  <c r="H256" i="2" s="1"/>
  <c r="E253" i="2"/>
  <c r="E252" i="2"/>
  <c r="H252" i="2" s="1"/>
  <c r="E251" i="2"/>
  <c r="H251" i="2" s="1"/>
  <c r="E246" i="2"/>
  <c r="H246" i="2" s="1"/>
  <c r="E245" i="2"/>
  <c r="H245" i="2" s="1"/>
  <c r="E243" i="2"/>
  <c r="H243" i="2" s="1"/>
  <c r="H241" i="2"/>
  <c r="H240" i="2"/>
  <c r="H232" i="2"/>
  <c r="H231" i="2"/>
  <c r="H228" i="2"/>
  <c r="H227" i="2"/>
  <c r="H224" i="2"/>
  <c r="H223" i="2"/>
  <c r="H221" i="2"/>
  <c r="H220" i="2"/>
  <c r="E198" i="2"/>
  <c r="H198" i="2" s="1"/>
  <c r="E196" i="2"/>
  <c r="H196" i="2" s="1"/>
  <c r="E190" i="2"/>
  <c r="H190" i="2" s="1"/>
  <c r="E189" i="2"/>
  <c r="H189" i="2" s="1"/>
  <c r="E188" i="2"/>
  <c r="H188" i="2" s="1"/>
  <c r="E187" i="2"/>
  <c r="H187" i="2" s="1"/>
  <c r="E162" i="2"/>
  <c r="H162" i="2" s="1"/>
  <c r="E142" i="2"/>
  <c r="H142" i="2" s="1"/>
  <c r="E135" i="2"/>
  <c r="H135" i="2" s="1"/>
  <c r="E109" i="2"/>
  <c r="H109" i="2" s="1"/>
  <c r="E99" i="2"/>
  <c r="H99" i="2" s="1"/>
  <c r="E68" i="2"/>
  <c r="H68" i="2" s="1"/>
  <c r="H62" i="2"/>
  <c r="E49" i="2"/>
  <c r="H49" i="2" s="1"/>
  <c r="H48" i="2"/>
  <c r="E17" i="2"/>
  <c r="E16" i="2" s="1"/>
  <c r="E8" i="2"/>
  <c r="H8" i="2" s="1"/>
  <c r="H7" i="2"/>
  <c r="E65" i="1"/>
  <c r="H65" i="1" s="1"/>
  <c r="H64" i="1" s="1"/>
  <c r="E33" i="1"/>
  <c r="H33" i="1" s="1"/>
  <c r="E238" i="1"/>
  <c r="E231" i="1"/>
  <c r="H231" i="1" s="1"/>
  <c r="E229" i="1"/>
  <c r="H229" i="1" s="1"/>
  <c r="E213" i="1"/>
  <c r="H213" i="1" s="1"/>
  <c r="E210" i="1"/>
  <c r="H210" i="1" s="1"/>
  <c r="E209" i="1"/>
  <c r="H209" i="1" s="1"/>
  <c r="E205" i="1"/>
  <c r="E204" i="1"/>
  <c r="H204" i="1" s="1"/>
  <c r="E203" i="1"/>
  <c r="H203" i="1" s="1"/>
  <c r="E196" i="1"/>
  <c r="E194" i="1"/>
  <c r="H194" i="1" s="1"/>
  <c r="E193" i="1"/>
  <c r="H193" i="1" s="1"/>
  <c r="E186" i="1"/>
  <c r="E185" i="1" s="1"/>
  <c r="E184" i="1" s="1"/>
  <c r="H182" i="1"/>
  <c r="E191" i="1"/>
  <c r="H191" i="1" s="1"/>
  <c r="E171" i="1"/>
  <c r="E170" i="1" s="1"/>
  <c r="E169" i="1"/>
  <c r="E168" i="1" s="1"/>
  <c r="E158" i="1"/>
  <c r="E157" i="1" s="1"/>
  <c r="E152" i="1"/>
  <c r="H152" i="1" s="1"/>
  <c r="H141" i="1"/>
  <c r="E136" i="1"/>
  <c r="H136" i="1" s="1"/>
  <c r="E135" i="1"/>
  <c r="H135" i="1" s="1"/>
  <c r="E117" i="1"/>
  <c r="H117" i="1" s="1"/>
  <c r="E116" i="1"/>
  <c r="E115" i="1"/>
  <c r="H115" i="1" s="1"/>
  <c r="E114" i="1"/>
  <c r="H114" i="1" s="1"/>
  <c r="E113" i="1"/>
  <c r="H120" i="1"/>
  <c r="E121" i="1"/>
  <c r="H121" i="1" s="1"/>
  <c r="E110" i="1"/>
  <c r="H110" i="1" s="1"/>
  <c r="H109" i="1" s="1"/>
  <c r="E99" i="1"/>
  <c r="H99" i="1" s="1"/>
  <c r="E98" i="1"/>
  <c r="H98" i="1" s="1"/>
  <c r="E93" i="1"/>
  <c r="H93" i="1" s="1"/>
  <c r="E92" i="1"/>
  <c r="E84" i="1"/>
  <c r="E81" i="1"/>
  <c r="E76" i="1"/>
  <c r="H76" i="1" s="1"/>
  <c r="E55" i="1"/>
  <c r="E48" i="1"/>
  <c r="E47" i="1"/>
  <c r="H47" i="1" s="1"/>
  <c r="E45" i="1"/>
  <c r="E38" i="1"/>
  <c r="E42" i="1"/>
  <c r="H42" i="1" s="1"/>
  <c r="E41" i="1"/>
  <c r="H41" i="1" s="1"/>
  <c r="E39" i="1"/>
  <c r="H39" i="1" s="1"/>
  <c r="E35" i="1"/>
  <c r="E34" i="1"/>
  <c r="H34" i="1" s="1"/>
  <c r="E25" i="1"/>
  <c r="H25" i="1" s="1"/>
  <c r="E24" i="1"/>
  <c r="H24" i="1" s="1"/>
  <c r="E23" i="1"/>
  <c r="E16" i="1"/>
  <c r="H16" i="1" s="1"/>
  <c r="H15" i="1" s="1"/>
  <c r="E8" i="1"/>
  <c r="H8" i="1" s="1"/>
  <c r="H7" i="1" s="1"/>
  <c r="E18" i="11"/>
  <c r="E30" i="11"/>
  <c r="E26" i="18"/>
  <c r="E24" i="18" s="1"/>
  <c r="E23" i="18" s="1"/>
  <c r="E17" i="18"/>
  <c r="E15" i="18" s="1"/>
  <c r="E14" i="18" s="1"/>
  <c r="E11" i="18"/>
  <c r="E10" i="18"/>
  <c r="H63" i="12"/>
  <c r="E32" i="12"/>
  <c r="H32" i="12" s="1"/>
  <c r="E55" i="5"/>
  <c r="H55" i="5" s="1"/>
  <c r="E86" i="5"/>
  <c r="E95" i="5"/>
  <c r="H95" i="5" s="1"/>
  <c r="H94" i="5" s="1"/>
  <c r="E93" i="5"/>
  <c r="H93" i="5" s="1"/>
  <c r="H92" i="5" s="1"/>
  <c r="E90" i="5"/>
  <c r="E87" i="5"/>
  <c r="H87" i="5" s="1"/>
  <c r="E83" i="5"/>
  <c r="H83" i="5" s="1"/>
  <c r="E52" i="5"/>
  <c r="E54" i="5"/>
  <c r="E8" i="5"/>
  <c r="H8" i="5" s="1"/>
  <c r="H7" i="5" s="1"/>
  <c r="E28" i="5"/>
  <c r="H28" i="5" s="1"/>
  <c r="H27" i="5" s="1"/>
  <c r="E22" i="5"/>
  <c r="H22" i="5" s="1"/>
  <c r="E38" i="28"/>
  <c r="E37" i="28" s="1"/>
  <c r="E36" i="28" s="1"/>
  <c r="E44" i="28"/>
  <c r="E43" i="28" s="1"/>
  <c r="E41" i="28"/>
  <c r="E40" i="28" s="1"/>
  <c r="E39" i="28" s="1"/>
  <c r="H20" i="28"/>
  <c r="H19" i="28" s="1"/>
  <c r="H18" i="28" s="1"/>
  <c r="E17" i="28"/>
  <c r="H17" i="28" s="1"/>
  <c r="E16" i="28"/>
  <c r="H16" i="28" s="1"/>
  <c r="E13" i="28"/>
  <c r="H13" i="28" s="1"/>
  <c r="H12" i="28" s="1"/>
  <c r="H11" i="28" s="1"/>
  <c r="H51" i="22"/>
  <c r="H50" i="22"/>
  <c r="E50" i="22"/>
  <c r="H49" i="22"/>
  <c r="E49" i="22"/>
  <c r="H48" i="22"/>
  <c r="E48" i="22"/>
  <c r="H47" i="22"/>
  <c r="E47" i="22"/>
  <c r="H46" i="22"/>
  <c r="E46" i="22"/>
  <c r="H45" i="22"/>
  <c r="E45" i="22"/>
  <c r="G44" i="22"/>
  <c r="F44" i="22"/>
  <c r="E44" i="22"/>
  <c r="G43" i="22"/>
  <c r="F43" i="22"/>
  <c r="E43" i="22"/>
  <c r="H42" i="22"/>
  <c r="E42" i="22"/>
  <c r="H41" i="22"/>
  <c r="E41" i="22"/>
  <c r="H40" i="22"/>
  <c r="E40" i="22"/>
  <c r="H39" i="22"/>
  <c r="E39" i="22"/>
  <c r="H38" i="22"/>
  <c r="E38" i="22"/>
  <c r="H37" i="22"/>
  <c r="H36" i="22"/>
  <c r="G35" i="22"/>
  <c r="G34" i="22" s="1"/>
  <c r="G52" i="22" s="1"/>
  <c r="F35" i="22"/>
  <c r="F34" i="22" s="1"/>
  <c r="E35" i="22"/>
  <c r="E34" i="22" s="1"/>
  <c r="E52" i="22" s="1"/>
  <c r="H33" i="22"/>
  <c r="H32" i="22"/>
  <c r="G31" i="22"/>
  <c r="F31" i="22"/>
  <c r="F30" i="22" s="1"/>
  <c r="E31" i="22"/>
  <c r="G30" i="22"/>
  <c r="E30" i="22"/>
  <c r="G23" i="22"/>
  <c r="H22" i="22"/>
  <c r="E22" i="22"/>
  <c r="H21" i="22"/>
  <c r="H20" i="22" s="1"/>
  <c r="G21" i="22"/>
  <c r="F21" i="22"/>
  <c r="E21" i="22"/>
  <c r="G20" i="22"/>
  <c r="F20" i="22"/>
  <c r="E20" i="22"/>
  <c r="H19" i="22"/>
  <c r="H18" i="22" s="1"/>
  <c r="H17" i="22" s="1"/>
  <c r="G18" i="22"/>
  <c r="F18" i="22"/>
  <c r="F17" i="22" s="1"/>
  <c r="E18" i="22"/>
  <c r="E17" i="22" s="1"/>
  <c r="G17" i="22"/>
  <c r="H16" i="22"/>
  <c r="H15" i="22" s="1"/>
  <c r="H14" i="22" s="1"/>
  <c r="G15" i="22"/>
  <c r="F15" i="22"/>
  <c r="F14" i="22" s="1"/>
  <c r="E15" i="22"/>
  <c r="G14" i="22"/>
  <c r="E14" i="22"/>
  <c r="E23" i="22" s="1"/>
  <c r="E12" i="22"/>
  <c r="E11" i="22"/>
  <c r="H55" i="28"/>
  <c r="E52" i="28"/>
  <c r="E51" i="28" s="1"/>
  <c r="G51" i="28"/>
  <c r="F51" i="28"/>
  <c r="H49" i="28"/>
  <c r="H48" i="28" s="1"/>
  <c r="H47" i="28" s="1"/>
  <c r="G48" i="28"/>
  <c r="G47" i="28" s="1"/>
  <c r="F48" i="28"/>
  <c r="F47" i="28" s="1"/>
  <c r="E48" i="28"/>
  <c r="E47" i="28" s="1"/>
  <c r="H46" i="28"/>
  <c r="H45" i="28"/>
  <c r="G44" i="28"/>
  <c r="G43" i="28" s="1"/>
  <c r="F44" i="28"/>
  <c r="F43" i="28" s="1"/>
  <c r="H42" i="28"/>
  <c r="G40" i="28"/>
  <c r="G39" i="28" s="1"/>
  <c r="F40" i="28"/>
  <c r="F39" i="28" s="1"/>
  <c r="G37" i="28"/>
  <c r="G36" i="28" s="1"/>
  <c r="F37" i="28"/>
  <c r="F36" i="28" s="1"/>
  <c r="H28" i="28"/>
  <c r="H27" i="28" s="1"/>
  <c r="G27" i="28"/>
  <c r="F27" i="28"/>
  <c r="E27" i="28"/>
  <c r="H26" i="28"/>
  <c r="H25" i="28" s="1"/>
  <c r="G25" i="28"/>
  <c r="F25" i="28"/>
  <c r="F24" i="28" s="1"/>
  <c r="E25" i="28"/>
  <c r="H23" i="28"/>
  <c r="H22" i="28" s="1"/>
  <c r="H21" i="28" s="1"/>
  <c r="G22" i="28"/>
  <c r="G21" i="28" s="1"/>
  <c r="F22" i="28"/>
  <c r="F21" i="28" s="1"/>
  <c r="E22" i="28"/>
  <c r="E21" i="28" s="1"/>
  <c r="G19" i="28"/>
  <c r="G18" i="28" s="1"/>
  <c r="F19" i="28"/>
  <c r="F18" i="28" s="1"/>
  <c r="E19" i="28"/>
  <c r="E18" i="28" s="1"/>
  <c r="G15" i="28"/>
  <c r="G14" i="28" s="1"/>
  <c r="F15" i="28"/>
  <c r="F14" i="28" s="1"/>
  <c r="G12" i="28"/>
  <c r="G11" i="28" s="1"/>
  <c r="F12" i="28"/>
  <c r="F11" i="28" s="1"/>
  <c r="F98" i="25"/>
  <c r="F97" i="25"/>
  <c r="F96" i="25"/>
  <c r="F95" i="25"/>
  <c r="F79" i="25"/>
  <c r="F53" i="25"/>
  <c r="K33" i="26"/>
  <c r="J33" i="26"/>
  <c r="I33" i="26"/>
  <c r="H33" i="26"/>
  <c r="G33" i="26"/>
  <c r="F33" i="26"/>
  <c r="E33" i="26"/>
  <c r="D33" i="26"/>
  <c r="J31" i="26"/>
  <c r="H31" i="26"/>
  <c r="H28" i="26"/>
  <c r="F28" i="26"/>
  <c r="H26" i="26"/>
  <c r="I20" i="26"/>
  <c r="E20" i="26"/>
  <c r="K19" i="26"/>
  <c r="I19" i="26"/>
  <c r="I18" i="26"/>
  <c r="J12" i="26"/>
  <c r="E49" i="15"/>
  <c r="E48" i="15"/>
  <c r="E39" i="15"/>
  <c r="E38" i="15"/>
  <c r="E37" i="15"/>
  <c r="E36" i="15"/>
  <c r="E35" i="15"/>
  <c r="E30" i="15"/>
  <c r="E27" i="15"/>
  <c r="E18" i="15"/>
  <c r="E15" i="15"/>
  <c r="E7" i="15"/>
  <c r="H220" i="23"/>
  <c r="H219" i="23"/>
  <c r="H218" i="23"/>
  <c r="H217" i="23"/>
  <c r="G217" i="23"/>
  <c r="H213" i="23"/>
  <c r="H212" i="23" s="1"/>
  <c r="H211" i="23" s="1"/>
  <c r="G213" i="23"/>
  <c r="H210" i="23"/>
  <c r="H208" i="23"/>
  <c r="H207" i="23"/>
  <c r="H206" i="23"/>
  <c r="H204" i="23"/>
  <c r="G204" i="23"/>
  <c r="H203" i="23"/>
  <c r="G203" i="23"/>
  <c r="H201" i="23"/>
  <c r="G197" i="23"/>
  <c r="G196" i="23"/>
  <c r="H193" i="23"/>
  <c r="H190" i="23"/>
  <c r="G191" i="23"/>
  <c r="H188" i="23"/>
  <c r="H187" i="23" s="1"/>
  <c r="H186" i="23"/>
  <c r="H185" i="23" s="1"/>
  <c r="G186" i="23"/>
  <c r="H181" i="23"/>
  <c r="H179" i="23"/>
  <c r="H176" i="23"/>
  <c r="H173" i="23"/>
  <c r="G174" i="23"/>
  <c r="H171" i="23"/>
  <c r="H170" i="23" s="1"/>
  <c r="H169" i="23" s="1"/>
  <c r="G171" i="23"/>
  <c r="H168" i="23"/>
  <c r="H167" i="23" s="1"/>
  <c r="H166" i="23" s="1"/>
  <c r="G168" i="23"/>
  <c r="H164" i="23"/>
  <c r="H163" i="23" s="1"/>
  <c r="G164" i="23"/>
  <c r="H162" i="23"/>
  <c r="H161" i="23" s="1"/>
  <c r="G162" i="23"/>
  <c r="H160" i="23"/>
  <c r="H159" i="23" s="1"/>
  <c r="G160" i="23"/>
  <c r="H158" i="23"/>
  <c r="H157" i="23" s="1"/>
  <c r="G158" i="23"/>
  <c r="H153" i="23"/>
  <c r="H152" i="23" s="1"/>
  <c r="H143" i="23"/>
  <c r="H142" i="23" s="1"/>
  <c r="H141" i="23"/>
  <c r="H140" i="23" s="1"/>
  <c r="H137" i="23"/>
  <c r="H132" i="23"/>
  <c r="H131" i="23"/>
  <c r="G131" i="23"/>
  <c r="H129" i="23"/>
  <c r="G129" i="23"/>
  <c r="H128" i="23"/>
  <c r="G128" i="23"/>
  <c r="H127" i="23"/>
  <c r="G127" i="23"/>
  <c r="H125" i="23"/>
  <c r="G125" i="23"/>
  <c r="H120" i="23"/>
  <c r="H119" i="23" s="1"/>
  <c r="H118" i="23" s="1"/>
  <c r="H117" i="23"/>
  <c r="H116" i="23" s="1"/>
  <c r="H115" i="23" s="1"/>
  <c r="G117" i="23"/>
  <c r="H113" i="23"/>
  <c r="H112" i="23" s="1"/>
  <c r="H110" i="23"/>
  <c r="H109" i="23" s="1"/>
  <c r="H105" i="23"/>
  <c r="H102" i="23"/>
  <c r="H99" i="23"/>
  <c r="H97" i="23"/>
  <c r="H93" i="23"/>
  <c r="H92" i="23" s="1"/>
  <c r="H91" i="23" s="1"/>
  <c r="G94" i="23"/>
  <c r="G90" i="23"/>
  <c r="H89" i="23"/>
  <c r="H88" i="23" s="1"/>
  <c r="H87" i="23"/>
  <c r="H86" i="23" s="1"/>
  <c r="H85" i="23" s="1"/>
  <c r="G87" i="23"/>
  <c r="H83" i="23"/>
  <c r="H82" i="23" s="1"/>
  <c r="G83" i="23"/>
  <c r="H80" i="23"/>
  <c r="H77" i="23"/>
  <c r="H76" i="23" s="1"/>
  <c r="G74" i="23"/>
  <c r="H73" i="23"/>
  <c r="H72" i="23"/>
  <c r="H68" i="23"/>
  <c r="G67" i="23"/>
  <c r="H66" i="23"/>
  <c r="G66" i="23"/>
  <c r="H63" i="23"/>
  <c r="G63" i="23"/>
  <c r="H62" i="23"/>
  <c r="G62" i="23"/>
  <c r="H61" i="23"/>
  <c r="G61" i="23"/>
  <c r="H60" i="23"/>
  <c r="H58" i="23"/>
  <c r="G58" i="23"/>
  <c r="H57" i="23"/>
  <c r="G57" i="23"/>
  <c r="H56" i="23"/>
  <c r="G56" i="23"/>
  <c r="H55" i="23"/>
  <c r="G55" i="23"/>
  <c r="H54" i="23"/>
  <c r="H53" i="23"/>
  <c r="H52" i="23"/>
  <c r="H51" i="23"/>
  <c r="H47" i="23"/>
  <c r="H46" i="23"/>
  <c r="H45" i="23"/>
  <c r="H44" i="23"/>
  <c r="H43" i="23"/>
  <c r="G43" i="23"/>
  <c r="G42" i="23"/>
  <c r="H36" i="23"/>
  <c r="G36" i="23"/>
  <c r="H35" i="23"/>
  <c r="G35" i="23"/>
  <c r="H32" i="23"/>
  <c r="H30" i="23" s="1"/>
  <c r="H27" i="23"/>
  <c r="G27" i="23"/>
  <c r="G22" i="23"/>
  <c r="H21" i="23"/>
  <c r="H20" i="23" s="1"/>
  <c r="H17" i="23"/>
  <c r="H16" i="23" s="1"/>
  <c r="H14" i="23"/>
  <c r="H13" i="23" s="1"/>
  <c r="H12" i="23"/>
  <c r="H10" i="23" s="1"/>
  <c r="G12" i="23"/>
  <c r="G94" i="5"/>
  <c r="F94" i="5"/>
  <c r="G92" i="5"/>
  <c r="F92" i="5"/>
  <c r="H91" i="5"/>
  <c r="H90" i="5" s="1"/>
  <c r="G90" i="5"/>
  <c r="F90" i="5"/>
  <c r="H88" i="5"/>
  <c r="E88" i="5"/>
  <c r="H86" i="5"/>
  <c r="G85" i="5"/>
  <c r="F85" i="5"/>
  <c r="E85" i="5"/>
  <c r="H84" i="5"/>
  <c r="E84" i="5"/>
  <c r="E82" i="5" s="1"/>
  <c r="G82" i="5"/>
  <c r="F82" i="5"/>
  <c r="H80" i="5"/>
  <c r="H79" i="5"/>
  <c r="H78" i="5" s="1"/>
  <c r="G78" i="5"/>
  <c r="F78" i="5"/>
  <c r="E78" i="5"/>
  <c r="H77" i="5"/>
  <c r="H75" i="5" s="1"/>
  <c r="H76" i="5"/>
  <c r="G75" i="5"/>
  <c r="F75" i="5"/>
  <c r="E75" i="5"/>
  <c r="H74" i="5"/>
  <c r="H73" i="5" s="1"/>
  <c r="E74" i="5"/>
  <c r="E73" i="5" s="1"/>
  <c r="G73" i="5"/>
  <c r="F73" i="5"/>
  <c r="E72" i="5"/>
  <c r="H72" i="5" s="1"/>
  <c r="H71" i="5" s="1"/>
  <c r="G71" i="5"/>
  <c r="F71" i="5"/>
  <c r="E71" i="5"/>
  <c r="F70" i="5"/>
  <c r="H69" i="5"/>
  <c r="E69" i="5"/>
  <c r="E68" i="5"/>
  <c r="H68" i="5" s="1"/>
  <c r="E67" i="5"/>
  <c r="H67" i="5" s="1"/>
  <c r="H66" i="5"/>
  <c r="H65" i="5" s="1"/>
  <c r="H64" i="5" s="1"/>
  <c r="E66" i="5"/>
  <c r="G65" i="5"/>
  <c r="G64" i="5" s="1"/>
  <c r="F65" i="5"/>
  <c r="F64" i="5" s="1"/>
  <c r="E65" i="5"/>
  <c r="E64" i="5" s="1"/>
  <c r="H63" i="5"/>
  <c r="H62" i="5" s="1"/>
  <c r="H61" i="5" s="1"/>
  <c r="G62" i="5"/>
  <c r="G61" i="5" s="1"/>
  <c r="F62" i="5"/>
  <c r="F61" i="5" s="1"/>
  <c r="E62" i="5"/>
  <c r="E61" i="5"/>
  <c r="H59" i="5"/>
  <c r="H57" i="5"/>
  <c r="H56" i="5"/>
  <c r="G56" i="5"/>
  <c r="F56" i="5"/>
  <c r="E56" i="5"/>
  <c r="H54" i="5"/>
  <c r="E53" i="5"/>
  <c r="H53" i="5" s="1"/>
  <c r="H52" i="5"/>
  <c r="G51" i="5"/>
  <c r="G50" i="5" s="1"/>
  <c r="F51" i="5"/>
  <c r="E49" i="5"/>
  <c r="H49" i="5" s="1"/>
  <c r="H48" i="5" s="1"/>
  <c r="G48" i="5"/>
  <c r="F48" i="5"/>
  <c r="E47" i="5"/>
  <c r="E46" i="5" s="1"/>
  <c r="G46" i="5"/>
  <c r="F46" i="5"/>
  <c r="H45" i="5"/>
  <c r="H44" i="5" s="1"/>
  <c r="G44" i="5"/>
  <c r="F44" i="5"/>
  <c r="E44" i="5"/>
  <c r="H43" i="5"/>
  <c r="H42" i="5" s="1"/>
  <c r="G42" i="5"/>
  <c r="G41" i="5" s="1"/>
  <c r="F42" i="5"/>
  <c r="F41" i="5" s="1"/>
  <c r="E42" i="5"/>
  <c r="E40" i="5"/>
  <c r="H40" i="5" s="1"/>
  <c r="H39" i="5"/>
  <c r="G38" i="5"/>
  <c r="F38" i="5"/>
  <c r="E38" i="5"/>
  <c r="H37" i="5"/>
  <c r="H36" i="5"/>
  <c r="G35" i="5"/>
  <c r="F35" i="5"/>
  <c r="F34" i="5" s="1"/>
  <c r="E35" i="5"/>
  <c r="E34" i="5" s="1"/>
  <c r="H33" i="5"/>
  <c r="H32" i="5" s="1"/>
  <c r="H31" i="5" s="1"/>
  <c r="G32" i="5"/>
  <c r="G31" i="5" s="1"/>
  <c r="F32" i="5"/>
  <c r="E32" i="5"/>
  <c r="E31" i="5" s="1"/>
  <c r="F31" i="5"/>
  <c r="H30" i="5"/>
  <c r="H29" i="5" s="1"/>
  <c r="G29" i="5"/>
  <c r="F29" i="5"/>
  <c r="E29" i="5"/>
  <c r="G27" i="5"/>
  <c r="F27" i="5"/>
  <c r="E27" i="5"/>
  <c r="H26" i="5"/>
  <c r="H25" i="5"/>
  <c r="G24" i="5"/>
  <c r="F24" i="5"/>
  <c r="F23" i="5" s="1"/>
  <c r="E24" i="5"/>
  <c r="H21" i="5"/>
  <c r="G20" i="5"/>
  <c r="F20" i="5"/>
  <c r="E20" i="5"/>
  <c r="H19" i="5"/>
  <c r="E19" i="5"/>
  <c r="E18" i="5"/>
  <c r="H18" i="5" s="1"/>
  <c r="H17" i="5" s="1"/>
  <c r="G17" i="5"/>
  <c r="F17" i="5"/>
  <c r="H16" i="5"/>
  <c r="H15" i="5"/>
  <c r="H14" i="5" s="1"/>
  <c r="G14" i="5"/>
  <c r="F14" i="5"/>
  <c r="E14" i="5"/>
  <c r="H12" i="5"/>
  <c r="H11" i="5" s="1"/>
  <c r="G11" i="5"/>
  <c r="F11" i="5"/>
  <c r="E11" i="5"/>
  <c r="H10" i="5"/>
  <c r="H9" i="5" s="1"/>
  <c r="G9" i="5"/>
  <c r="G6" i="5" s="1"/>
  <c r="F9" i="5"/>
  <c r="E9" i="5"/>
  <c r="G7" i="5"/>
  <c r="F7" i="5"/>
  <c r="E7" i="5"/>
  <c r="E6" i="5" s="1"/>
  <c r="H103" i="12"/>
  <c r="H102" i="12" s="1"/>
  <c r="H101" i="12" s="1"/>
  <c r="G102" i="12"/>
  <c r="G101" i="12" s="1"/>
  <c r="F102" i="12"/>
  <c r="F101" i="12" s="1"/>
  <c r="E102" i="12"/>
  <c r="E101" i="12" s="1"/>
  <c r="H100" i="12"/>
  <c r="H99" i="12" s="1"/>
  <c r="H98" i="12" s="1"/>
  <c r="G99" i="12"/>
  <c r="G98" i="12" s="1"/>
  <c r="F99" i="12"/>
  <c r="F98" i="12" s="1"/>
  <c r="E99" i="12"/>
  <c r="E98" i="12" s="1"/>
  <c r="H97" i="12"/>
  <c r="H96" i="12" s="1"/>
  <c r="G96" i="12"/>
  <c r="F96" i="12"/>
  <c r="E96" i="12"/>
  <c r="H93" i="12"/>
  <c r="G93" i="12"/>
  <c r="F93" i="12"/>
  <c r="E93" i="12"/>
  <c r="H92" i="12"/>
  <c r="H91" i="12" s="1"/>
  <c r="G91" i="12"/>
  <c r="F91" i="12"/>
  <c r="E91" i="12"/>
  <c r="H81" i="12"/>
  <c r="H80" i="12" s="1"/>
  <c r="G80" i="12"/>
  <c r="G60" i="12" s="1"/>
  <c r="F80" i="12"/>
  <c r="E80" i="12"/>
  <c r="E78" i="12"/>
  <c r="H78" i="12" s="1"/>
  <c r="H77" i="12" s="1"/>
  <c r="G77" i="12"/>
  <c r="F77" i="12"/>
  <c r="E74" i="12"/>
  <c r="H74" i="12" s="1"/>
  <c r="E73" i="12"/>
  <c r="H73" i="12" s="1"/>
  <c r="E61" i="12"/>
  <c r="E59" i="12"/>
  <c r="H59" i="12" s="1"/>
  <c r="H58" i="12"/>
  <c r="E57" i="12"/>
  <c r="H57" i="12" s="1"/>
  <c r="G56" i="12"/>
  <c r="G48" i="12" s="1"/>
  <c r="F56" i="12"/>
  <c r="F48" i="12" s="1"/>
  <c r="H47" i="12"/>
  <c r="E46" i="12"/>
  <c r="H46" i="12" s="1"/>
  <c r="E45" i="12"/>
  <c r="H45" i="12" s="1"/>
  <c r="E44" i="12"/>
  <c r="H43" i="12"/>
  <c r="G42" i="12"/>
  <c r="G41" i="12" s="1"/>
  <c r="F42" i="12"/>
  <c r="F41" i="12" s="1"/>
  <c r="H40" i="12"/>
  <c r="E39" i="12"/>
  <c r="H39" i="12" s="1"/>
  <c r="E38" i="12"/>
  <c r="H38" i="12" s="1"/>
  <c r="E37" i="12"/>
  <c r="H37" i="12" s="1"/>
  <c r="E36" i="12"/>
  <c r="H36" i="12" s="1"/>
  <c r="E35" i="12"/>
  <c r="H35" i="12" s="1"/>
  <c r="H34" i="12"/>
  <c r="G33" i="12"/>
  <c r="F33" i="12"/>
  <c r="E31" i="12"/>
  <c r="H31" i="12" s="1"/>
  <c r="E30" i="12"/>
  <c r="H30" i="12" s="1"/>
  <c r="E29" i="12"/>
  <c r="H29" i="12" s="1"/>
  <c r="E28" i="12"/>
  <c r="H28" i="12" s="1"/>
  <c r="E27" i="12"/>
  <c r="H27" i="12" s="1"/>
  <c r="E26" i="12"/>
  <c r="H26" i="12" s="1"/>
  <c r="G25" i="12"/>
  <c r="F25" i="12"/>
  <c r="H21" i="12"/>
  <c r="G21" i="12"/>
  <c r="F21" i="12"/>
  <c r="E21" i="12"/>
  <c r="H19" i="12"/>
  <c r="H18" i="12"/>
  <c r="G16" i="12"/>
  <c r="G15" i="12" s="1"/>
  <c r="F16" i="12"/>
  <c r="F15" i="12" s="1"/>
  <c r="H14" i="12"/>
  <c r="H13" i="12"/>
  <c r="H12" i="12"/>
  <c r="H11" i="12"/>
  <c r="H10" i="12"/>
  <c r="H9" i="12"/>
  <c r="H8" i="12"/>
  <c r="G7" i="12"/>
  <c r="F7" i="12"/>
  <c r="E7" i="12"/>
  <c r="G6" i="12"/>
  <c r="F6" i="12"/>
  <c r="E6" i="12"/>
  <c r="H643" i="2"/>
  <c r="H642" i="2"/>
  <c r="G641" i="2"/>
  <c r="F641" i="2"/>
  <c r="E640" i="2"/>
  <c r="H640" i="2" s="1"/>
  <c r="E639" i="2"/>
  <c r="H639" i="2" s="1"/>
  <c r="G637" i="2"/>
  <c r="F637" i="2"/>
  <c r="H636" i="2"/>
  <c r="H635" i="2"/>
  <c r="H634" i="2"/>
  <c r="H633" i="2"/>
  <c r="E632" i="2"/>
  <c r="H632" i="2" s="1"/>
  <c r="H631" i="2"/>
  <c r="H630" i="2"/>
  <c r="H629" i="2"/>
  <c r="H628" i="2"/>
  <c r="H625" i="2"/>
  <c r="H624" i="2"/>
  <c r="E623" i="2"/>
  <c r="H623" i="2" s="1"/>
  <c r="E622" i="2"/>
  <c r="H622" i="2" s="1"/>
  <c r="H621" i="2"/>
  <c r="H620" i="2"/>
  <c r="E619" i="2"/>
  <c r="H619" i="2" s="1"/>
  <c r="E618" i="2"/>
  <c r="H618" i="2" s="1"/>
  <c r="H617" i="2"/>
  <c r="G616" i="2"/>
  <c r="F616" i="2"/>
  <c r="H614" i="2"/>
  <c r="E613" i="2"/>
  <c r="H613" i="2" s="1"/>
  <c r="G611" i="2"/>
  <c r="F611" i="2"/>
  <c r="E607" i="2"/>
  <c r="H607" i="2" s="1"/>
  <c r="H604" i="2"/>
  <c r="H603" i="2"/>
  <c r="H602" i="2"/>
  <c r="G601" i="2"/>
  <c r="F601" i="2"/>
  <c r="H600" i="2"/>
  <c r="E599" i="2"/>
  <c r="H599" i="2" s="1"/>
  <c r="G598" i="2"/>
  <c r="F598" i="2"/>
  <c r="E597" i="2"/>
  <c r="H597" i="2" s="1"/>
  <c r="H595" i="2"/>
  <c r="H593" i="2"/>
  <c r="E592" i="2"/>
  <c r="H592" i="2" s="1"/>
  <c r="G590" i="2"/>
  <c r="F590" i="2"/>
  <c r="E587" i="2"/>
  <c r="H587" i="2" s="1"/>
  <c r="H586" i="2"/>
  <c r="G585" i="2"/>
  <c r="F585" i="2"/>
  <c r="H581" i="2"/>
  <c r="E579" i="2"/>
  <c r="H579" i="2" s="1"/>
  <c r="E576" i="2"/>
  <c r="H576" i="2" s="1"/>
  <c r="E575" i="2"/>
  <c r="H575" i="2" s="1"/>
  <c r="E574" i="2"/>
  <c r="H574" i="2" s="1"/>
  <c r="H573" i="2"/>
  <c r="G572" i="2"/>
  <c r="F572" i="2"/>
  <c r="H571" i="2"/>
  <c r="H570" i="2"/>
  <c r="H569" i="2"/>
  <c r="G568" i="2"/>
  <c r="F568" i="2"/>
  <c r="E568" i="2"/>
  <c r="H567" i="2"/>
  <c r="H566" i="2"/>
  <c r="H564" i="2"/>
  <c r="E563" i="2"/>
  <c r="H563" i="2" s="1"/>
  <c r="G562" i="2"/>
  <c r="F562" i="2"/>
  <c r="H560" i="2"/>
  <c r="H559" i="2"/>
  <c r="G558" i="2"/>
  <c r="F558" i="2"/>
  <c r="H557" i="2"/>
  <c r="G556" i="2"/>
  <c r="F556" i="2"/>
  <c r="E556" i="2"/>
  <c r="E555" i="2"/>
  <c r="E554" i="2"/>
  <c r="H554" i="2" s="1"/>
  <c r="H552" i="2"/>
  <c r="E551" i="2"/>
  <c r="H551" i="2" s="1"/>
  <c r="G550" i="2"/>
  <c r="F550" i="2"/>
  <c r="E547" i="2"/>
  <c r="H547" i="2" s="1"/>
  <c r="E546" i="2"/>
  <c r="H546" i="2" s="1"/>
  <c r="E545" i="2"/>
  <c r="H545" i="2" s="1"/>
  <c r="G544" i="2"/>
  <c r="F544" i="2"/>
  <c r="E542" i="2"/>
  <c r="H542" i="2" s="1"/>
  <c r="G541" i="2"/>
  <c r="F541" i="2"/>
  <c r="E540" i="2"/>
  <c r="H540" i="2" s="1"/>
  <c r="H539" i="2"/>
  <c r="H538" i="2"/>
  <c r="H537" i="2"/>
  <c r="G536" i="2"/>
  <c r="F536" i="2"/>
  <c r="H534" i="2"/>
  <c r="H533" i="2"/>
  <c r="G532" i="2"/>
  <c r="F532" i="2"/>
  <c r="E532" i="2"/>
  <c r="G529" i="2"/>
  <c r="F529" i="2"/>
  <c r="G527" i="2"/>
  <c r="F527" i="2"/>
  <c r="H526" i="2"/>
  <c r="H525" i="2"/>
  <c r="E524" i="2"/>
  <c r="H524" i="2" s="1"/>
  <c r="H523" i="2"/>
  <c r="H522" i="2"/>
  <c r="H521" i="2"/>
  <c r="H520" i="2"/>
  <c r="H519" i="2"/>
  <c r="H518" i="2"/>
  <c r="H517" i="2"/>
  <c r="H513" i="2"/>
  <c r="G512" i="2"/>
  <c r="F512" i="2"/>
  <c r="E510" i="2"/>
  <c r="E509" i="2" s="1"/>
  <c r="G509" i="2"/>
  <c r="F509" i="2"/>
  <c r="H507" i="2"/>
  <c r="H506" i="2"/>
  <c r="E505" i="2"/>
  <c r="H505" i="2" s="1"/>
  <c r="E504" i="2"/>
  <c r="H504" i="2" s="1"/>
  <c r="H503" i="2"/>
  <c r="H502" i="2"/>
  <c r="H501" i="2"/>
  <c r="H500" i="2"/>
  <c r="H499" i="2"/>
  <c r="H497" i="2"/>
  <c r="H496" i="2"/>
  <c r="H493" i="2"/>
  <c r="H492" i="2"/>
  <c r="H491" i="2"/>
  <c r="G490" i="2"/>
  <c r="F490" i="2"/>
  <c r="H487" i="2"/>
  <c r="G486" i="2"/>
  <c r="F486" i="2"/>
  <c r="E486" i="2"/>
  <c r="G483" i="2"/>
  <c r="F483" i="2"/>
  <c r="H482" i="2"/>
  <c r="G481" i="2"/>
  <c r="F481" i="2"/>
  <c r="E481" i="2"/>
  <c r="H477" i="2"/>
  <c r="H476" i="2" s="1"/>
  <c r="G476" i="2"/>
  <c r="F476" i="2"/>
  <c r="E476" i="2"/>
  <c r="H474" i="2"/>
  <c r="G470" i="2"/>
  <c r="G469" i="2" s="1"/>
  <c r="F470" i="2"/>
  <c r="F469" i="2" s="1"/>
  <c r="H467" i="2"/>
  <c r="H466" i="2"/>
  <c r="E465" i="2"/>
  <c r="H465" i="2" s="1"/>
  <c r="G463" i="2"/>
  <c r="F463" i="2"/>
  <c r="E462" i="2"/>
  <c r="H462" i="2" s="1"/>
  <c r="E461" i="2"/>
  <c r="H461" i="2" s="1"/>
  <c r="E460" i="2"/>
  <c r="H460" i="2" s="1"/>
  <c r="E459" i="2"/>
  <c r="H459" i="2" s="1"/>
  <c r="H458" i="2"/>
  <c r="H457" i="2"/>
  <c r="H456" i="2"/>
  <c r="H455" i="2"/>
  <c r="H454" i="2"/>
  <c r="H453" i="2"/>
  <c r="H452" i="2"/>
  <c r="H451" i="2"/>
  <c r="H450" i="2"/>
  <c r="H449" i="2"/>
  <c r="H448" i="2"/>
  <c r="E447" i="2"/>
  <c r="H446" i="2"/>
  <c r="H445" i="2"/>
  <c r="H444" i="2"/>
  <c r="H443" i="2"/>
  <c r="H442" i="2"/>
  <c r="H441" i="2"/>
  <c r="H440" i="2"/>
  <c r="G439" i="2"/>
  <c r="F439" i="2"/>
  <c r="H438" i="2"/>
  <c r="E435" i="2"/>
  <c r="H435" i="2" s="1"/>
  <c r="G431" i="2"/>
  <c r="F431" i="2"/>
  <c r="G429" i="2"/>
  <c r="F429" i="2"/>
  <c r="E429" i="2"/>
  <c r="G427" i="2"/>
  <c r="F427" i="2"/>
  <c r="E426" i="2"/>
  <c r="H426" i="2" s="1"/>
  <c r="E424" i="2"/>
  <c r="H424" i="2" s="1"/>
  <c r="H423" i="2"/>
  <c r="H422" i="2"/>
  <c r="H421" i="2"/>
  <c r="H420" i="2"/>
  <c r="H419" i="2"/>
  <c r="H418" i="2"/>
  <c r="H413" i="2"/>
  <c r="G412" i="2"/>
  <c r="F412" i="2"/>
  <c r="E410" i="2"/>
  <c r="G410" i="2"/>
  <c r="F410" i="2"/>
  <c r="H401" i="2"/>
  <c r="H400" i="2" s="1"/>
  <c r="G400" i="2"/>
  <c r="F400" i="2"/>
  <c r="E400" i="2"/>
  <c r="H399" i="2"/>
  <c r="H398" i="2" s="1"/>
  <c r="G398" i="2"/>
  <c r="F398" i="2"/>
  <c r="E398" i="2"/>
  <c r="H397" i="2"/>
  <c r="H395" i="2"/>
  <c r="E394" i="2"/>
  <c r="H394" i="2" s="1"/>
  <c r="G389" i="2"/>
  <c r="F389" i="2"/>
  <c r="H388" i="2"/>
  <c r="H387" i="2" s="1"/>
  <c r="G387" i="2"/>
  <c r="F387" i="2"/>
  <c r="E387" i="2"/>
  <c r="E384" i="2"/>
  <c r="E382" i="2" s="1"/>
  <c r="H383" i="2"/>
  <c r="G382" i="2"/>
  <c r="F382" i="2"/>
  <c r="H381" i="2"/>
  <c r="H380" i="2" s="1"/>
  <c r="G380" i="2"/>
  <c r="F380" i="2"/>
  <c r="E380" i="2"/>
  <c r="H379" i="2"/>
  <c r="H378" i="2"/>
  <c r="H377" i="2"/>
  <c r="H376" i="2"/>
  <c r="H375" i="2"/>
  <c r="H374" i="2"/>
  <c r="H372" i="2"/>
  <c r="H371" i="2"/>
  <c r="H369" i="2"/>
  <c r="G367" i="2"/>
  <c r="F367" i="2"/>
  <c r="E366" i="2"/>
  <c r="H366" i="2" s="1"/>
  <c r="H365" i="2"/>
  <c r="H364" i="2"/>
  <c r="H363" i="2"/>
  <c r="H362" i="2"/>
  <c r="G361" i="2"/>
  <c r="F361" i="2"/>
  <c r="H360" i="2"/>
  <c r="H359" i="2"/>
  <c r="G358" i="2"/>
  <c r="F358" i="2"/>
  <c r="E358" i="2"/>
  <c r="H355" i="2"/>
  <c r="E354" i="2"/>
  <c r="H354" i="2" s="1"/>
  <c r="H352" i="2"/>
  <c r="H351" i="2"/>
  <c r="E350" i="2"/>
  <c r="H350" i="2" s="1"/>
  <c r="E349" i="2"/>
  <c r="H349" i="2" s="1"/>
  <c r="H348" i="2"/>
  <c r="E344" i="2"/>
  <c r="H344" i="2" s="1"/>
  <c r="E342" i="2"/>
  <c r="H342" i="2" s="1"/>
  <c r="H341" i="2"/>
  <c r="H340" i="2"/>
  <c r="H339" i="2"/>
  <c r="H338" i="2"/>
  <c r="E337" i="2"/>
  <c r="H336" i="2"/>
  <c r="H335" i="2"/>
  <c r="H333" i="2"/>
  <c r="H329" i="2"/>
  <c r="H328" i="2" s="1"/>
  <c r="G328" i="2"/>
  <c r="F328" i="2"/>
  <c r="E328" i="2"/>
  <c r="H327" i="2"/>
  <c r="H326" i="2"/>
  <c r="E325" i="2"/>
  <c r="H325" i="2" s="1"/>
  <c r="E324" i="2"/>
  <c r="H324" i="2" s="1"/>
  <c r="E323" i="2"/>
  <c r="H322" i="2"/>
  <c r="H321" i="2"/>
  <c r="G320" i="2"/>
  <c r="F320" i="2"/>
  <c r="G311" i="2"/>
  <c r="F311" i="2"/>
  <c r="E310" i="2"/>
  <c r="H310" i="2" s="1"/>
  <c r="E309" i="2"/>
  <c r="H309" i="2" s="1"/>
  <c r="G308" i="2"/>
  <c r="F308" i="2"/>
  <c r="E306" i="2"/>
  <c r="G305" i="2"/>
  <c r="F305" i="2"/>
  <c r="H304" i="2"/>
  <c r="H303" i="2" s="1"/>
  <c r="G303" i="2"/>
  <c r="F303" i="2"/>
  <c r="E303" i="2"/>
  <c r="E301" i="2"/>
  <c r="G301" i="2"/>
  <c r="F301" i="2"/>
  <c r="E300" i="2"/>
  <c r="H300" i="2" s="1"/>
  <c r="E297" i="2"/>
  <c r="H297" i="2" s="1"/>
  <c r="H296" i="2"/>
  <c r="H293" i="2"/>
  <c r="G292" i="2"/>
  <c r="F292" i="2"/>
  <c r="H291" i="2"/>
  <c r="E290" i="2"/>
  <c r="H290" i="2" s="1"/>
  <c r="G289" i="2"/>
  <c r="F289" i="2"/>
  <c r="H285" i="2"/>
  <c r="H281" i="2"/>
  <c r="E280" i="2"/>
  <c r="H280" i="2" s="1"/>
  <c r="E277" i="2"/>
  <c r="H277" i="2" s="1"/>
  <c r="E271" i="2"/>
  <c r="H271" i="2" s="1"/>
  <c r="H267" i="2"/>
  <c r="H266" i="2"/>
  <c r="H263" i="2"/>
  <c r="E262" i="2"/>
  <c r="H262" i="2" s="1"/>
  <c r="E261" i="2"/>
  <c r="H261" i="2" s="1"/>
  <c r="E260" i="2"/>
  <c r="H260" i="2" s="1"/>
  <c r="G259" i="2"/>
  <c r="F259" i="2"/>
  <c r="E258" i="2"/>
  <c r="H258" i="2" s="1"/>
  <c r="E255" i="2"/>
  <c r="H255" i="2" s="1"/>
  <c r="H254" i="2"/>
  <c r="H250" i="2"/>
  <c r="H249" i="2"/>
  <c r="H248" i="2"/>
  <c r="E244" i="2"/>
  <c r="H244" i="2" s="1"/>
  <c r="E242" i="2"/>
  <c r="H242" i="2" s="1"/>
  <c r="E237" i="2"/>
  <c r="H237" i="2" s="1"/>
  <c r="E236" i="2"/>
  <c r="H236" i="2" s="1"/>
  <c r="H235" i="2"/>
  <c r="E230" i="2"/>
  <c r="H230" i="2" s="1"/>
  <c r="E222" i="2"/>
  <c r="H222" i="2" s="1"/>
  <c r="H219" i="2"/>
  <c r="E218" i="2"/>
  <c r="H218" i="2" s="1"/>
  <c r="H215" i="2"/>
  <c r="H214" i="2" s="1"/>
  <c r="G214" i="2"/>
  <c r="F214" i="2"/>
  <c r="E214" i="2"/>
  <c r="E213" i="2"/>
  <c r="H213" i="2" s="1"/>
  <c r="H212" i="2" s="1"/>
  <c r="G212" i="2"/>
  <c r="F212" i="2"/>
  <c r="E210" i="2"/>
  <c r="E208" i="2" s="1"/>
  <c r="E207" i="2" s="1"/>
  <c r="H209" i="2"/>
  <c r="G208" i="2"/>
  <c r="G207" i="2" s="1"/>
  <c r="F208" i="2"/>
  <c r="F207" i="2" s="1"/>
  <c r="E206" i="2"/>
  <c r="H206" i="2" s="1"/>
  <c r="H205" i="2"/>
  <c r="H204" i="2"/>
  <c r="H203" i="2"/>
  <c r="G202" i="2"/>
  <c r="F202" i="2"/>
  <c r="E201" i="2"/>
  <c r="H201" i="2" s="1"/>
  <c r="E200" i="2"/>
  <c r="H200" i="2" s="1"/>
  <c r="E199" i="2"/>
  <c r="H199" i="2" s="1"/>
  <c r="H197" i="2"/>
  <c r="H195" i="2"/>
  <c r="H194" i="2"/>
  <c r="H193" i="2"/>
  <c r="H192" i="2"/>
  <c r="E191" i="2"/>
  <c r="H191" i="2" s="1"/>
  <c r="G186" i="2"/>
  <c r="F186" i="2"/>
  <c r="H185" i="2"/>
  <c r="H184" i="2"/>
  <c r="H183" i="2"/>
  <c r="H182" i="2"/>
  <c r="G181" i="2"/>
  <c r="F181" i="2"/>
  <c r="E181" i="2"/>
  <c r="H180" i="2"/>
  <c r="H179" i="2"/>
  <c r="H178" i="2"/>
  <c r="H177" i="2"/>
  <c r="H176" i="2"/>
  <c r="H175" i="2"/>
  <c r="G174" i="2"/>
  <c r="F174" i="2"/>
  <c r="E174" i="2"/>
  <c r="H173" i="2"/>
  <c r="H172" i="2" s="1"/>
  <c r="G172" i="2"/>
  <c r="F172" i="2"/>
  <c r="E172" i="2"/>
  <c r="H170" i="2"/>
  <c r="E169" i="2"/>
  <c r="H169" i="2" s="1"/>
  <c r="E168" i="2"/>
  <c r="H168" i="2" s="1"/>
  <c r="E167" i="2"/>
  <c r="H167" i="2" s="1"/>
  <c r="E166" i="2"/>
  <c r="H166" i="2" s="1"/>
  <c r="E165" i="2"/>
  <c r="H165" i="2" s="1"/>
  <c r="E164" i="2"/>
  <c r="H164" i="2" s="1"/>
  <c r="G163" i="2"/>
  <c r="F163" i="2"/>
  <c r="E161" i="2"/>
  <c r="H161" i="2" s="1"/>
  <c r="E160" i="2"/>
  <c r="H160" i="2" s="1"/>
  <c r="E159" i="2"/>
  <c r="H159" i="2" s="1"/>
  <c r="E158" i="2"/>
  <c r="H158" i="2" s="1"/>
  <c r="E157" i="2"/>
  <c r="H157" i="2" s="1"/>
  <c r="E156" i="2"/>
  <c r="H156" i="2" s="1"/>
  <c r="G155" i="2"/>
  <c r="F155" i="2"/>
  <c r="H154" i="2"/>
  <c r="H153" i="2"/>
  <c r="H152" i="2"/>
  <c r="G151" i="2"/>
  <c r="F151" i="2"/>
  <c r="E151" i="2"/>
  <c r="E149" i="2"/>
  <c r="E148" i="2"/>
  <c r="H148" i="2" s="1"/>
  <c r="H147" i="2"/>
  <c r="H146" i="2"/>
  <c r="H145" i="2"/>
  <c r="E144" i="2"/>
  <c r="H144" i="2" s="1"/>
  <c r="H141" i="2"/>
  <c r="H140" i="2"/>
  <c r="H139" i="2"/>
  <c r="G138" i="2"/>
  <c r="F138" i="2"/>
  <c r="E137" i="2"/>
  <c r="H137" i="2" s="1"/>
  <c r="H136" i="2"/>
  <c r="H134" i="2"/>
  <c r="H133" i="2"/>
  <c r="H132" i="2"/>
  <c r="H131" i="2"/>
  <c r="H130" i="2"/>
  <c r="H129" i="2"/>
  <c r="H128" i="2"/>
  <c r="E127" i="2"/>
  <c r="H127" i="2" s="1"/>
  <c r="E126" i="2"/>
  <c r="H126" i="2" s="1"/>
  <c r="H125" i="2"/>
  <c r="E124" i="2"/>
  <c r="H123" i="2"/>
  <c r="G122" i="2"/>
  <c r="F122" i="2"/>
  <c r="H121" i="2"/>
  <c r="E120" i="2"/>
  <c r="H120" i="2" s="1"/>
  <c r="H119" i="2"/>
  <c r="E118" i="2"/>
  <c r="H117" i="2"/>
  <c r="H116" i="2"/>
  <c r="G115" i="2"/>
  <c r="F115" i="2"/>
  <c r="H114" i="2"/>
  <c r="H113" i="2"/>
  <c r="E112" i="2"/>
  <c r="H112" i="2" s="1"/>
  <c r="E111" i="2"/>
  <c r="H111" i="2" s="1"/>
  <c r="E110" i="2"/>
  <c r="H110" i="2" s="1"/>
  <c r="H108" i="2"/>
  <c r="H107" i="2"/>
  <c r="H106" i="2"/>
  <c r="H105" i="2"/>
  <c r="E104" i="2"/>
  <c r="H104" i="2" s="1"/>
  <c r="H103" i="2"/>
  <c r="E102" i="2"/>
  <c r="H102" i="2" s="1"/>
  <c r="E101" i="2"/>
  <c r="H101" i="2" s="1"/>
  <c r="H100" i="2"/>
  <c r="E98" i="2"/>
  <c r="H98" i="2" s="1"/>
  <c r="H97" i="2"/>
  <c r="E96" i="2"/>
  <c r="H96" i="2" s="1"/>
  <c r="E95" i="2"/>
  <c r="H95" i="2" s="1"/>
  <c r="H94" i="2"/>
  <c r="E93" i="2"/>
  <c r="H92" i="2"/>
  <c r="G91" i="2"/>
  <c r="F91" i="2"/>
  <c r="E90" i="2"/>
  <c r="H90" i="2" s="1"/>
  <c r="H89" i="2"/>
  <c r="H88" i="2"/>
  <c r="G87" i="2"/>
  <c r="F87" i="2"/>
  <c r="H86" i="2"/>
  <c r="H85" i="2"/>
  <c r="H84" i="2"/>
  <c r="G83" i="2"/>
  <c r="F83" i="2"/>
  <c r="H81" i="2"/>
  <c r="H80" i="2" s="1"/>
  <c r="G80" i="2"/>
  <c r="F80" i="2"/>
  <c r="E80" i="2"/>
  <c r="H79" i="2"/>
  <c r="H78" i="2"/>
  <c r="G77" i="2"/>
  <c r="F77" i="2"/>
  <c r="E77" i="2"/>
  <c r="H76" i="2"/>
  <c r="H75" i="2"/>
  <c r="H74" i="2"/>
  <c r="H73" i="2"/>
  <c r="G72" i="2"/>
  <c r="F72" i="2"/>
  <c r="E72" i="2"/>
  <c r="H70" i="2"/>
  <c r="H69" i="2" s="1"/>
  <c r="G69" i="2"/>
  <c r="F69" i="2"/>
  <c r="E69" i="2"/>
  <c r="E67" i="2"/>
  <c r="H67" i="2" s="1"/>
  <c r="H66" i="2"/>
  <c r="E65" i="2"/>
  <c r="H65" i="2" s="1"/>
  <c r="E64" i="2"/>
  <c r="H64" i="2" s="1"/>
  <c r="G63" i="2"/>
  <c r="F63" i="2"/>
  <c r="H61" i="2"/>
  <c r="H60" i="2"/>
  <c r="E59" i="2"/>
  <c r="H59" i="2" s="1"/>
  <c r="H58" i="2"/>
  <c r="E57" i="2"/>
  <c r="H57" i="2" s="1"/>
  <c r="H56" i="2"/>
  <c r="G55" i="2"/>
  <c r="F55" i="2"/>
  <c r="E53" i="2"/>
  <c r="H47" i="2"/>
  <c r="H46" i="2"/>
  <c r="E45" i="2"/>
  <c r="H44" i="2"/>
  <c r="H43" i="2"/>
  <c r="G42" i="2"/>
  <c r="F42" i="2"/>
  <c r="E41" i="2"/>
  <c r="E40" i="2"/>
  <c r="H40" i="2" s="1"/>
  <c r="H39" i="2"/>
  <c r="G38" i="2"/>
  <c r="F38" i="2"/>
  <c r="H37" i="2"/>
  <c r="H33" i="2" s="1"/>
  <c r="G33" i="2"/>
  <c r="F33" i="2"/>
  <c r="E33" i="2"/>
  <c r="H32" i="2"/>
  <c r="H31" i="2" s="1"/>
  <c r="G31" i="2"/>
  <c r="F31" i="2"/>
  <c r="E31" i="2"/>
  <c r="G28" i="2"/>
  <c r="G27" i="2" s="1"/>
  <c r="F28" i="2"/>
  <c r="F27" i="2" s="1"/>
  <c r="E28" i="2"/>
  <c r="E27" i="2" s="1"/>
  <c r="H25" i="2"/>
  <c r="H24" i="2"/>
  <c r="H23" i="2"/>
  <c r="H22" i="2"/>
  <c r="H21" i="2"/>
  <c r="H20" i="2"/>
  <c r="G18" i="2"/>
  <c r="F18" i="2"/>
  <c r="G16" i="2"/>
  <c r="F16" i="2"/>
  <c r="H13" i="2"/>
  <c r="G13" i="2"/>
  <c r="F13" i="2"/>
  <c r="E13" i="2"/>
  <c r="H12" i="2"/>
  <c r="H11" i="2" s="1"/>
  <c r="G11" i="2"/>
  <c r="F11" i="2"/>
  <c r="E11" i="2"/>
  <c r="H10" i="2"/>
  <c r="H9" i="2" s="1"/>
  <c r="G9" i="2"/>
  <c r="F9" i="2"/>
  <c r="E9" i="2"/>
  <c r="G6" i="2"/>
  <c r="F6" i="2"/>
  <c r="H45" i="18"/>
  <c r="H44" i="18" s="1"/>
  <c r="H43" i="18" s="1"/>
  <c r="G44" i="18"/>
  <c r="F44" i="18"/>
  <c r="E44" i="18"/>
  <c r="E43" i="18" s="1"/>
  <c r="H41" i="18"/>
  <c r="G41" i="18"/>
  <c r="F41" i="18"/>
  <c r="E41" i="18"/>
  <c r="H40" i="18"/>
  <c r="H39" i="18" s="1"/>
  <c r="G39" i="18"/>
  <c r="F39" i="18"/>
  <c r="E39" i="18"/>
  <c r="G38" i="18"/>
  <c r="F38" i="18"/>
  <c r="E38" i="18"/>
  <c r="H37" i="18"/>
  <c r="H36" i="18"/>
  <c r="G35" i="18"/>
  <c r="F35" i="18"/>
  <c r="E35" i="18"/>
  <c r="H34" i="18"/>
  <c r="H33" i="18" s="1"/>
  <c r="G33" i="18"/>
  <c r="F33" i="18"/>
  <c r="E33" i="18"/>
  <c r="G32" i="18"/>
  <c r="E32" i="18"/>
  <c r="H31" i="18"/>
  <c r="H30" i="18" s="1"/>
  <c r="H29" i="18" s="1"/>
  <c r="E31" i="18"/>
  <c r="E30" i="18" s="1"/>
  <c r="E29" i="18" s="1"/>
  <c r="G30" i="18"/>
  <c r="G29" i="18" s="1"/>
  <c r="F30" i="18"/>
  <c r="F29" i="18"/>
  <c r="H28" i="18"/>
  <c r="H27" i="18"/>
  <c r="G27" i="18"/>
  <c r="F27" i="18"/>
  <c r="E27" i="18"/>
  <c r="H26" i="18"/>
  <c r="H25" i="18"/>
  <c r="G24" i="18"/>
  <c r="F24" i="18"/>
  <c r="F23" i="18" s="1"/>
  <c r="E22" i="18"/>
  <c r="H22" i="18" s="1"/>
  <c r="H21" i="18"/>
  <c r="H20" i="18"/>
  <c r="G19" i="18"/>
  <c r="G18" i="18" s="1"/>
  <c r="F19" i="18"/>
  <c r="F18" i="18" s="1"/>
  <c r="E19" i="18"/>
  <c r="E18" i="18" s="1"/>
  <c r="H17" i="18"/>
  <c r="H16" i="18"/>
  <c r="G15" i="18"/>
  <c r="F15" i="18"/>
  <c r="F14" i="18" s="1"/>
  <c r="G14" i="18"/>
  <c r="H13" i="18"/>
  <c r="H12" i="18"/>
  <c r="G12" i="18"/>
  <c r="F12" i="18"/>
  <c r="E12" i="18"/>
  <c r="H11" i="18"/>
  <c r="H10" i="18"/>
  <c r="G9" i="18"/>
  <c r="F9" i="18"/>
  <c r="E9" i="18"/>
  <c r="H8" i="18"/>
  <c r="H7" i="18"/>
  <c r="G7" i="18"/>
  <c r="G6" i="18" s="1"/>
  <c r="F7" i="18"/>
  <c r="E7" i="18"/>
  <c r="E67" i="11"/>
  <c r="E66" i="11" s="1"/>
  <c r="E64" i="11"/>
  <c r="E63" i="11" s="1"/>
  <c r="H55" i="11"/>
  <c r="G55" i="11"/>
  <c r="F55" i="11"/>
  <c r="E55" i="11"/>
  <c r="H54" i="11"/>
  <c r="H53" i="11" s="1"/>
  <c r="H52" i="11" s="1"/>
  <c r="G53" i="11"/>
  <c r="G52" i="11" s="1"/>
  <c r="F53" i="11"/>
  <c r="F52" i="11" s="1"/>
  <c r="E53" i="11"/>
  <c r="E52" i="11" s="1"/>
  <c r="H51" i="11"/>
  <c r="H50" i="11" s="1"/>
  <c r="G50" i="11"/>
  <c r="F50" i="11"/>
  <c r="E50" i="11"/>
  <c r="H49" i="11"/>
  <c r="H48" i="11" s="1"/>
  <c r="G48" i="11"/>
  <c r="G45" i="11" s="1"/>
  <c r="F48" i="11"/>
  <c r="E48" i="11"/>
  <c r="H47" i="11"/>
  <c r="H46" i="11" s="1"/>
  <c r="G46" i="11"/>
  <c r="F46" i="11"/>
  <c r="E46" i="11"/>
  <c r="H35" i="11"/>
  <c r="H34" i="11" s="1"/>
  <c r="G34" i="11"/>
  <c r="F34" i="11"/>
  <c r="E34" i="11"/>
  <c r="E33" i="11"/>
  <c r="E32" i="11" s="1"/>
  <c r="G32" i="11"/>
  <c r="F32" i="11"/>
  <c r="G30" i="11"/>
  <c r="G29" i="11" s="1"/>
  <c r="F30" i="11"/>
  <c r="E28" i="11"/>
  <c r="E27" i="11" s="1"/>
  <c r="G27" i="11"/>
  <c r="F27" i="11"/>
  <c r="H23" i="11"/>
  <c r="H22" i="11" s="1"/>
  <c r="H21" i="11" s="1"/>
  <c r="G22" i="11"/>
  <c r="G21" i="11" s="1"/>
  <c r="F22" i="11"/>
  <c r="F21" i="11"/>
  <c r="E20" i="11"/>
  <c r="H20" i="11" s="1"/>
  <c r="H19" i="11" s="1"/>
  <c r="G19" i="11"/>
  <c r="F19" i="11"/>
  <c r="H18" i="11"/>
  <c r="H17" i="11" s="1"/>
  <c r="G17" i="11"/>
  <c r="F17" i="11"/>
  <c r="E17" i="11"/>
  <c r="H15" i="11"/>
  <c r="G15" i="11"/>
  <c r="F15" i="11"/>
  <c r="E15" i="11"/>
  <c r="H13" i="11"/>
  <c r="H12" i="11" s="1"/>
  <c r="H11" i="11" s="1"/>
  <c r="G12" i="11"/>
  <c r="G11" i="11" s="1"/>
  <c r="F12" i="11"/>
  <c r="F11" i="11" s="1"/>
  <c r="H10" i="11"/>
  <c r="H9" i="11" s="1"/>
  <c r="H8" i="11" s="1"/>
  <c r="G9" i="11"/>
  <c r="G8" i="11" s="1"/>
  <c r="F9" i="11"/>
  <c r="F8" i="11" s="1"/>
  <c r="E9" i="11"/>
  <c r="E8" i="11" s="1"/>
  <c r="H243" i="1"/>
  <c r="H242" i="1"/>
  <c r="G241" i="1"/>
  <c r="F241" i="1"/>
  <c r="E241" i="1"/>
  <c r="E240" i="1"/>
  <c r="H240" i="1" s="1"/>
  <c r="H239" i="1"/>
  <c r="G237" i="1"/>
  <c r="F237" i="1"/>
  <c r="H236" i="1"/>
  <c r="H235" i="1" s="1"/>
  <c r="G235" i="1"/>
  <c r="F235" i="1"/>
  <c r="E235" i="1"/>
  <c r="H233" i="1"/>
  <c r="H232" i="1" s="1"/>
  <c r="G232" i="1"/>
  <c r="F232" i="1"/>
  <c r="E232" i="1"/>
  <c r="E230" i="1"/>
  <c r="G228" i="1"/>
  <c r="F228" i="1"/>
  <c r="H227" i="1"/>
  <c r="H226" i="1" s="1"/>
  <c r="G226" i="1"/>
  <c r="F226" i="1"/>
  <c r="E226" i="1"/>
  <c r="H225" i="1"/>
  <c r="H224" i="1" s="1"/>
  <c r="G224" i="1"/>
  <c r="F224" i="1"/>
  <c r="E224" i="1"/>
  <c r="H222" i="1"/>
  <c r="H221" i="1"/>
  <c r="G220" i="1"/>
  <c r="F220" i="1"/>
  <c r="E220" i="1"/>
  <c r="H219" i="1"/>
  <c r="H218" i="1" s="1"/>
  <c r="G218" i="1"/>
  <c r="F218" i="1"/>
  <c r="E218" i="1"/>
  <c r="H217" i="1"/>
  <c r="H216" i="1" s="1"/>
  <c r="G216" i="1"/>
  <c r="F216" i="1"/>
  <c r="E216" i="1"/>
  <c r="H215" i="1"/>
  <c r="H214" i="1" s="1"/>
  <c r="G214" i="1"/>
  <c r="F214" i="1"/>
  <c r="E214" i="1"/>
  <c r="H212" i="1"/>
  <c r="G211" i="1"/>
  <c r="F211" i="1"/>
  <c r="G208" i="1"/>
  <c r="F208" i="1"/>
  <c r="H206" i="1"/>
  <c r="H205" i="1" s="1"/>
  <c r="G205" i="1"/>
  <c r="F205" i="1"/>
  <c r="G202" i="1"/>
  <c r="F202" i="1"/>
  <c r="E198" i="1"/>
  <c r="E197" i="1" s="1"/>
  <c r="G197" i="1"/>
  <c r="F197" i="1"/>
  <c r="H196" i="1"/>
  <c r="G192" i="1"/>
  <c r="F192" i="1"/>
  <c r="H190" i="1"/>
  <c r="G189" i="1"/>
  <c r="F189" i="1"/>
  <c r="G184" i="1"/>
  <c r="F184" i="1"/>
  <c r="E183" i="1"/>
  <c r="G179" i="1"/>
  <c r="F179" i="1"/>
  <c r="E178" i="1"/>
  <c r="E177" i="1" s="1"/>
  <c r="G177" i="1"/>
  <c r="F177" i="1"/>
  <c r="E176" i="1"/>
  <c r="H176" i="1" s="1"/>
  <c r="E175" i="1"/>
  <c r="H175" i="1" s="1"/>
  <c r="H173" i="1"/>
  <c r="G172" i="1"/>
  <c r="F172" i="1"/>
  <c r="G170" i="1"/>
  <c r="F170" i="1"/>
  <c r="H169" i="1"/>
  <c r="H168" i="1" s="1"/>
  <c r="G168" i="1"/>
  <c r="F168" i="1"/>
  <c r="H167" i="1"/>
  <c r="H166" i="1" s="1"/>
  <c r="G166" i="1"/>
  <c r="F166" i="1"/>
  <c r="E166" i="1"/>
  <c r="E165" i="1"/>
  <c r="H165" i="1" s="1"/>
  <c r="H164" i="1" s="1"/>
  <c r="G164" i="1"/>
  <c r="F164" i="1"/>
  <c r="E162" i="1"/>
  <c r="G162" i="1"/>
  <c r="F162" i="1"/>
  <c r="H159" i="1"/>
  <c r="H158" i="1"/>
  <c r="G157" i="1"/>
  <c r="F157" i="1"/>
  <c r="H156" i="1"/>
  <c r="H155" i="1" s="1"/>
  <c r="G155" i="1"/>
  <c r="F155" i="1"/>
  <c r="E155" i="1"/>
  <c r="H154" i="1"/>
  <c r="H153" i="1" s="1"/>
  <c r="G153" i="1"/>
  <c r="F153" i="1"/>
  <c r="E153" i="1"/>
  <c r="H151" i="1"/>
  <c r="G150" i="1"/>
  <c r="F150" i="1"/>
  <c r="H148" i="1"/>
  <c r="H147" i="1"/>
  <c r="G146" i="1"/>
  <c r="G145" i="1" s="1"/>
  <c r="F146" i="1"/>
  <c r="F145" i="1" s="1"/>
  <c r="E146" i="1"/>
  <c r="E145" i="1" s="1"/>
  <c r="H144" i="1"/>
  <c r="H142" i="1"/>
  <c r="G140" i="1"/>
  <c r="F140" i="1"/>
  <c r="H139" i="1"/>
  <c r="E137" i="1"/>
  <c r="G137" i="1"/>
  <c r="F137" i="1"/>
  <c r="G134" i="1"/>
  <c r="F134" i="1"/>
  <c r="H133" i="1"/>
  <c r="H132" i="1" s="1"/>
  <c r="G132" i="1"/>
  <c r="F132" i="1"/>
  <c r="E132" i="1"/>
  <c r="H131" i="1"/>
  <c r="H130" i="1"/>
  <c r="H129" i="1"/>
  <c r="E128" i="1"/>
  <c r="H128" i="1" s="1"/>
  <c r="E127" i="1"/>
  <c r="H127" i="1" s="1"/>
  <c r="G126" i="1"/>
  <c r="F126" i="1"/>
  <c r="H125" i="1"/>
  <c r="H124" i="1"/>
  <c r="G123" i="1"/>
  <c r="F123" i="1"/>
  <c r="E123" i="1"/>
  <c r="H122" i="1"/>
  <c r="H119" i="1"/>
  <c r="H118" i="1"/>
  <c r="H116" i="1"/>
  <c r="H113" i="1"/>
  <c r="G112" i="1"/>
  <c r="F112" i="1"/>
  <c r="G109" i="1"/>
  <c r="F109" i="1"/>
  <c r="E109" i="1"/>
  <c r="H108" i="1"/>
  <c r="H107" i="1" s="1"/>
  <c r="G107" i="1"/>
  <c r="F107" i="1"/>
  <c r="E107" i="1"/>
  <c r="E106" i="1"/>
  <c r="H106" i="1" s="1"/>
  <c r="H105" i="1" s="1"/>
  <c r="G105" i="1"/>
  <c r="F105" i="1"/>
  <c r="H103" i="1"/>
  <c r="H102" i="1"/>
  <c r="G101" i="1"/>
  <c r="F101" i="1"/>
  <c r="E101" i="1"/>
  <c r="H100" i="1"/>
  <c r="H97" i="1"/>
  <c r="H96" i="1"/>
  <c r="H95" i="1"/>
  <c r="G94" i="1"/>
  <c r="F94" i="1"/>
  <c r="H92" i="1"/>
  <c r="H91" i="1"/>
  <c r="H90" i="1"/>
  <c r="H89" i="1"/>
  <c r="H88" i="1"/>
  <c r="H87" i="1"/>
  <c r="H86" i="1"/>
  <c r="G85" i="1"/>
  <c r="F85" i="1"/>
  <c r="H83" i="1"/>
  <c r="H82" i="1"/>
  <c r="H81" i="1"/>
  <c r="H80" i="1"/>
  <c r="H79" i="1"/>
  <c r="H78" i="1"/>
  <c r="G77" i="1"/>
  <c r="F77" i="1"/>
  <c r="H75" i="1"/>
  <c r="G74" i="1"/>
  <c r="F74" i="1"/>
  <c r="H72" i="1"/>
  <c r="H71" i="1" s="1"/>
  <c r="G71" i="1"/>
  <c r="F71" i="1"/>
  <c r="E71" i="1"/>
  <c r="E68" i="1" s="1"/>
  <c r="E67" i="1"/>
  <c r="H67" i="1" s="1"/>
  <c r="H66" i="1" s="1"/>
  <c r="G66" i="1"/>
  <c r="F66" i="1"/>
  <c r="G64" i="1"/>
  <c r="F64" i="1"/>
  <c r="E64" i="1"/>
  <c r="H63" i="1"/>
  <c r="H62" i="1" s="1"/>
  <c r="G62" i="1"/>
  <c r="F62" i="1"/>
  <c r="E62" i="1"/>
  <c r="E60" i="1"/>
  <c r="H60" i="1" s="1"/>
  <c r="H59" i="1"/>
  <c r="H58" i="1"/>
  <c r="G56" i="1"/>
  <c r="F56" i="1"/>
  <c r="H55" i="1"/>
  <c r="H54" i="1"/>
  <c r="G53" i="1"/>
  <c r="F53" i="1"/>
  <c r="E53" i="1"/>
  <c r="H52" i="1"/>
  <c r="E50" i="1"/>
  <c r="G50" i="1"/>
  <c r="F50" i="1"/>
  <c r="H48" i="1"/>
  <c r="G46" i="1"/>
  <c r="F46" i="1"/>
  <c r="H45" i="1"/>
  <c r="H44" i="1"/>
  <c r="G43" i="1"/>
  <c r="F43" i="1"/>
  <c r="E43" i="1"/>
  <c r="H40" i="1"/>
  <c r="H37" i="1"/>
  <c r="G36" i="1"/>
  <c r="F36" i="1"/>
  <c r="H35" i="1"/>
  <c r="G32" i="1"/>
  <c r="F32" i="1"/>
  <c r="H30" i="1"/>
  <c r="H29" i="1" s="1"/>
  <c r="G29" i="1"/>
  <c r="F29" i="1"/>
  <c r="E29" i="1"/>
  <c r="H28" i="1"/>
  <c r="H27" i="1"/>
  <c r="G26" i="1"/>
  <c r="F26" i="1"/>
  <c r="E26" i="1"/>
  <c r="H23" i="1"/>
  <c r="H22" i="1"/>
  <c r="G21" i="1"/>
  <c r="F21" i="1"/>
  <c r="H20" i="1"/>
  <c r="H19" i="1" s="1"/>
  <c r="G19" i="1"/>
  <c r="F19" i="1"/>
  <c r="E19" i="1"/>
  <c r="H18" i="1"/>
  <c r="H17" i="1" s="1"/>
  <c r="G17" i="1"/>
  <c r="F17" i="1"/>
  <c r="E17" i="1"/>
  <c r="G15" i="1"/>
  <c r="F15" i="1"/>
  <c r="H13" i="1"/>
  <c r="H12" i="1" s="1"/>
  <c r="H11" i="1" s="1"/>
  <c r="G12" i="1"/>
  <c r="G11" i="1" s="1"/>
  <c r="F12" i="1"/>
  <c r="F11" i="1" s="1"/>
  <c r="E12" i="1"/>
  <c r="E11" i="1" s="1"/>
  <c r="H10" i="1"/>
  <c r="H9" i="1" s="1"/>
  <c r="G9" i="1"/>
  <c r="F9" i="1"/>
  <c r="E9" i="1"/>
  <c r="G7" i="1"/>
  <c r="F7" i="1"/>
  <c r="F50" i="5" l="1"/>
  <c r="H41" i="5"/>
  <c r="E17" i="5"/>
  <c r="H47" i="5"/>
  <c r="H46" i="5" s="1"/>
  <c r="G34" i="5"/>
  <c r="E48" i="5"/>
  <c r="E41" i="5" s="1"/>
  <c r="G70" i="5"/>
  <c r="E94" i="5"/>
  <c r="E89" i="5" s="1"/>
  <c r="H38" i="5"/>
  <c r="F81" i="5"/>
  <c r="E70" i="5"/>
  <c r="F6" i="5"/>
  <c r="E13" i="5"/>
  <c r="H82" i="5"/>
  <c r="F13" i="5"/>
  <c r="H35" i="5"/>
  <c r="D36" i="26"/>
  <c r="H34" i="23"/>
  <c r="G81" i="5"/>
  <c r="H70" i="5"/>
  <c r="H56" i="12"/>
  <c r="H48" i="12" s="1"/>
  <c r="H34" i="5"/>
  <c r="G23" i="5"/>
  <c r="G13" i="5"/>
  <c r="E12" i="28"/>
  <c r="E11" i="28" s="1"/>
  <c r="F99" i="25"/>
  <c r="H17" i="2"/>
  <c r="H16" i="2" s="1"/>
  <c r="H44" i="22"/>
  <c r="H43" i="22" s="1"/>
  <c r="H479" i="2"/>
  <c r="H478" i="2" s="1"/>
  <c r="H475" i="2" s="1"/>
  <c r="E478" i="2"/>
  <c r="H337" i="2"/>
  <c r="H332" i="2" s="1"/>
  <c r="E332" i="2"/>
  <c r="E228" i="1"/>
  <c r="E6" i="18"/>
  <c r="F6" i="18"/>
  <c r="H15" i="18"/>
  <c r="H14" i="18" s="1"/>
  <c r="G23" i="18"/>
  <c r="F32" i="18"/>
  <c r="H38" i="18"/>
  <c r="H19" i="18"/>
  <c r="H18" i="18" s="1"/>
  <c r="E21" i="1"/>
  <c r="E150" i="1"/>
  <c r="G6" i="1"/>
  <c r="H186" i="1"/>
  <c r="H185" i="1" s="1"/>
  <c r="H184" i="1" s="1"/>
  <c r="H211" i="1"/>
  <c r="E208" i="1"/>
  <c r="H171" i="1"/>
  <c r="H170" i="1" s="1"/>
  <c r="E15" i="1"/>
  <c r="H241" i="1"/>
  <c r="E77" i="1"/>
  <c r="E189" i="1"/>
  <c r="E46" i="1"/>
  <c r="E211" i="1"/>
  <c r="E207" i="1" s="1"/>
  <c r="E7" i="1"/>
  <c r="E6" i="1" s="1"/>
  <c r="E237" i="1"/>
  <c r="E234" i="1" s="1"/>
  <c r="G31" i="1"/>
  <c r="G149" i="1"/>
  <c r="H157" i="1"/>
  <c r="F61" i="1"/>
  <c r="F188" i="1"/>
  <c r="G188" i="1"/>
  <c r="H43" i="1"/>
  <c r="E180" i="1"/>
  <c r="E179" i="1" s="1"/>
  <c r="H44" i="28"/>
  <c r="H43" i="28" s="1"/>
  <c r="F149" i="1"/>
  <c r="E641" i="2"/>
  <c r="E483" i="2"/>
  <c r="H486" i="2"/>
  <c r="H52" i="2"/>
  <c r="E50" i="2"/>
  <c r="E562" i="2"/>
  <c r="G357" i="2"/>
  <c r="H6" i="2"/>
  <c r="G584" i="2"/>
  <c r="H77" i="2"/>
  <c r="H532" i="2"/>
  <c r="H178" i="23"/>
  <c r="H568" i="2"/>
  <c r="E6" i="2"/>
  <c r="H411" i="2"/>
  <c r="H410" i="2" s="1"/>
  <c r="F584" i="2"/>
  <c r="E585" i="2"/>
  <c r="E427" i="2"/>
  <c r="G475" i="2"/>
  <c r="G171" i="2"/>
  <c r="E320" i="2"/>
  <c r="E590" i="2"/>
  <c r="H384" i="2"/>
  <c r="H382" i="2" s="1"/>
  <c r="H6" i="1"/>
  <c r="H151" i="23"/>
  <c r="H11" i="23"/>
  <c r="H172" i="23"/>
  <c r="H96" i="23"/>
  <c r="H124" i="23"/>
  <c r="H123" i="23" s="1"/>
  <c r="H122" i="23" s="1"/>
  <c r="H26" i="23"/>
  <c r="H25" i="23" s="1"/>
  <c r="H9" i="23"/>
  <c r="H79" i="23"/>
  <c r="H78" i="23" s="1"/>
  <c r="H156" i="23"/>
  <c r="H155" i="23" s="1"/>
  <c r="H101" i="23"/>
  <c r="H195" i="23"/>
  <c r="H189" i="23" s="1"/>
  <c r="H184" i="23"/>
  <c r="H215" i="23"/>
  <c r="H214" i="23" s="1"/>
  <c r="H200" i="23"/>
  <c r="H199" i="23" s="1"/>
  <c r="F50" i="28"/>
  <c r="H52" i="28"/>
  <c r="H51" i="28" s="1"/>
  <c r="H38" i="28"/>
  <c r="H37" i="28" s="1"/>
  <c r="H36" i="28" s="1"/>
  <c r="E24" i="28"/>
  <c r="G24" i="28"/>
  <c r="G29" i="28" s="1"/>
  <c r="H41" i="28"/>
  <c r="H40" i="28" s="1"/>
  <c r="H39" i="28" s="1"/>
  <c r="G50" i="28"/>
  <c r="G56" i="28" s="1"/>
  <c r="E15" i="28"/>
  <c r="E14" i="28" s="1"/>
  <c r="H24" i="28"/>
  <c r="F29" i="28"/>
  <c r="E50" i="28"/>
  <c r="E56" i="28" s="1"/>
  <c r="E202" i="2"/>
  <c r="H210" i="2"/>
  <c r="H208" i="2" s="1"/>
  <c r="H207" i="2" s="1"/>
  <c r="F71" i="2"/>
  <c r="E247" i="2"/>
  <c r="E38" i="2"/>
  <c r="E305" i="2"/>
  <c r="H211" i="2"/>
  <c r="E289" i="2"/>
  <c r="E308" i="2"/>
  <c r="H323" i="2"/>
  <c r="H320" i="2" s="1"/>
  <c r="E598" i="2"/>
  <c r="H358" i="2"/>
  <c r="E42" i="2"/>
  <c r="E138" i="2"/>
  <c r="E431" i="2"/>
  <c r="H174" i="2"/>
  <c r="H289" i="2"/>
  <c r="H598" i="2"/>
  <c r="G5" i="2"/>
  <c r="G71" i="2"/>
  <c r="E91" i="2"/>
  <c r="H149" i="2"/>
  <c r="H138" i="2" s="1"/>
  <c r="E212" i="2"/>
  <c r="E211" i="2" s="1"/>
  <c r="H253" i="2"/>
  <c r="H247" i="2" s="1"/>
  <c r="H306" i="2"/>
  <c r="H305" i="2" s="1"/>
  <c r="E536" i="2"/>
  <c r="H591" i="2"/>
  <c r="H590" i="2" s="1"/>
  <c r="F211" i="2"/>
  <c r="E361" i="2"/>
  <c r="E389" i="2"/>
  <c r="G535" i="2"/>
  <c r="F150" i="2"/>
  <c r="H181" i="2"/>
  <c r="G211" i="2"/>
  <c r="E439" i="2"/>
  <c r="E529" i="2"/>
  <c r="E550" i="2"/>
  <c r="E122" i="2"/>
  <c r="G150" i="2"/>
  <c r="E71" i="2"/>
  <c r="H151" i="2"/>
  <c r="H302" i="2"/>
  <c r="H301" i="2" s="1"/>
  <c r="H361" i="2"/>
  <c r="E637" i="2"/>
  <c r="G30" i="2"/>
  <c r="F54" i="2"/>
  <c r="H63" i="2"/>
  <c r="F171" i="2"/>
  <c r="E115" i="2"/>
  <c r="H308" i="2"/>
  <c r="F475" i="2"/>
  <c r="E541" i="2"/>
  <c r="E18" i="2"/>
  <c r="H72" i="2"/>
  <c r="F30" i="2"/>
  <c r="E55" i="2"/>
  <c r="E83" i="2"/>
  <c r="E163" i="2"/>
  <c r="E412" i="2"/>
  <c r="H24" i="5"/>
  <c r="H23" i="5" s="1"/>
  <c r="E16" i="12"/>
  <c r="E15" i="12" s="1"/>
  <c r="E42" i="12"/>
  <c r="E41" i="12" s="1"/>
  <c r="E77" i="12"/>
  <c r="F20" i="12"/>
  <c r="F90" i="12"/>
  <c r="F104" i="12" s="1"/>
  <c r="H33" i="12"/>
  <c r="H7" i="12"/>
  <c r="E56" i="12"/>
  <c r="E48" i="12" s="1"/>
  <c r="E90" i="12"/>
  <c r="E104" i="12" s="1"/>
  <c r="E25" i="12"/>
  <c r="G90" i="12"/>
  <c r="G104" i="12" s="1"/>
  <c r="H90" i="12"/>
  <c r="H104" i="12" s="1"/>
  <c r="H17" i="12"/>
  <c r="H16" i="12" s="1"/>
  <c r="H15" i="12" s="1"/>
  <c r="G20" i="12"/>
  <c r="G82" i="12" s="1"/>
  <c r="E33" i="12"/>
  <c r="H44" i="12"/>
  <c r="H42" i="12" s="1"/>
  <c r="H41" i="12" s="1"/>
  <c r="H25" i="12"/>
  <c r="H6" i="12"/>
  <c r="H35" i="22"/>
  <c r="H34" i="22" s="1"/>
  <c r="F52" i="22"/>
  <c r="H463" i="2"/>
  <c r="H31" i="22"/>
  <c r="H30" i="22" s="1"/>
  <c r="H55" i="2"/>
  <c r="H202" i="2"/>
  <c r="H536" i="2"/>
  <c r="H87" i="2"/>
  <c r="H163" i="2"/>
  <c r="H19" i="2"/>
  <c r="H18" i="2" s="1"/>
  <c r="H45" i="2"/>
  <c r="H42" i="2" s="1"/>
  <c r="H53" i="2"/>
  <c r="G82" i="2"/>
  <c r="H510" i="2"/>
  <c r="H509" i="2" s="1"/>
  <c r="H565" i="2"/>
  <c r="H562" i="2" s="1"/>
  <c r="E611" i="2"/>
  <c r="E87" i="2"/>
  <c r="H155" i="2"/>
  <c r="E512" i="2"/>
  <c r="E155" i="2"/>
  <c r="E470" i="2"/>
  <c r="E469" i="2" s="1"/>
  <c r="G54" i="2"/>
  <c r="E63" i="2"/>
  <c r="F357" i="2"/>
  <c r="H637" i="2"/>
  <c r="H93" i="2"/>
  <c r="H91" i="2" s="1"/>
  <c r="H124" i="2"/>
  <c r="H122" i="2" s="1"/>
  <c r="H561" i="2"/>
  <c r="H558" i="2" s="1"/>
  <c r="E367" i="2"/>
  <c r="H41" i="2"/>
  <c r="H38" i="2" s="1"/>
  <c r="H118" i="2"/>
  <c r="H115" i="2" s="1"/>
  <c r="H555" i="2"/>
  <c r="H550" i="2" s="1"/>
  <c r="H585" i="2"/>
  <c r="E572" i="2"/>
  <c r="E616" i="2"/>
  <c r="E259" i="2"/>
  <c r="H276" i="2"/>
  <c r="H259" i="2" s="1"/>
  <c r="H528" i="2"/>
  <c r="H527" i="2" s="1"/>
  <c r="H641" i="2"/>
  <c r="F5" i="2"/>
  <c r="H447" i="2"/>
  <c r="H439" i="2" s="1"/>
  <c r="H541" i="2"/>
  <c r="E463" i="2"/>
  <c r="H83" i="2"/>
  <c r="F216" i="2"/>
  <c r="G485" i="2"/>
  <c r="F14" i="11"/>
  <c r="E12" i="11"/>
  <c r="E11" i="11" s="1"/>
  <c r="E45" i="11"/>
  <c r="F45" i="11"/>
  <c r="E22" i="11"/>
  <c r="E21" i="11" s="1"/>
  <c r="G58" i="11"/>
  <c r="H45" i="11"/>
  <c r="H58" i="11" s="1"/>
  <c r="E69" i="11"/>
  <c r="E58" i="11"/>
  <c r="F58" i="11"/>
  <c r="G14" i="11"/>
  <c r="G36" i="11" s="1"/>
  <c r="H28" i="11"/>
  <c r="H27" i="11" s="1"/>
  <c r="H14" i="11"/>
  <c r="E29" i="11"/>
  <c r="E19" i="11"/>
  <c r="E14" i="11" s="1"/>
  <c r="H33" i="11"/>
  <c r="H32" i="11" s="1"/>
  <c r="H26" i="1"/>
  <c r="G49" i="1"/>
  <c r="H183" i="1"/>
  <c r="H238" i="1"/>
  <c r="H237" i="1" s="1"/>
  <c r="E36" i="1"/>
  <c r="G111" i="1"/>
  <c r="G61" i="1"/>
  <c r="H123" i="1"/>
  <c r="G104" i="1"/>
  <c r="H198" i="1"/>
  <c r="H197" i="1" s="1"/>
  <c r="F6" i="1"/>
  <c r="F104" i="1"/>
  <c r="G14" i="1"/>
  <c r="H38" i="1"/>
  <c r="H36" i="1" s="1"/>
  <c r="H46" i="1"/>
  <c r="H101" i="1"/>
  <c r="E164" i="1"/>
  <c r="G207" i="1"/>
  <c r="E192" i="1"/>
  <c r="E56" i="1"/>
  <c r="E49" i="1" s="1"/>
  <c r="H146" i="1"/>
  <c r="H145" i="1" s="1"/>
  <c r="H220" i="1"/>
  <c r="E32" i="1"/>
  <c r="H57" i="1"/>
  <c r="H56" i="1" s="1"/>
  <c r="E105" i="1"/>
  <c r="E104" i="1" s="1"/>
  <c r="H138" i="1"/>
  <c r="H137" i="1" s="1"/>
  <c r="G234" i="1"/>
  <c r="H94" i="1"/>
  <c r="H140" i="1"/>
  <c r="E202" i="1"/>
  <c r="E66" i="1"/>
  <c r="E61" i="1" s="1"/>
  <c r="H84" i="1"/>
  <c r="H77" i="1" s="1"/>
  <c r="G73" i="1"/>
  <c r="G69" i="1" s="1"/>
  <c r="G68" i="1" s="1"/>
  <c r="E126" i="1"/>
  <c r="E172" i="1"/>
  <c r="H174" i="1"/>
  <c r="H172" i="1" s="1"/>
  <c r="H53" i="1"/>
  <c r="H108" i="23"/>
  <c r="F23" i="22"/>
  <c r="H23" i="22"/>
  <c r="F29" i="11"/>
  <c r="F36" i="11" s="1"/>
  <c r="H61" i="1"/>
  <c r="H126" i="1"/>
  <c r="F73" i="1"/>
  <c r="F69" i="1" s="1"/>
  <c r="E94" i="1"/>
  <c r="H163" i="1"/>
  <c r="H162" i="1" s="1"/>
  <c r="H178" i="1"/>
  <c r="H177" i="1" s="1"/>
  <c r="G223" i="1"/>
  <c r="E85" i="1"/>
  <c r="H51" i="1"/>
  <c r="H50" i="1" s="1"/>
  <c r="H150" i="1"/>
  <c r="H195" i="1"/>
  <c r="H192" i="1" s="1"/>
  <c r="H230" i="1"/>
  <c r="H228" i="1" s="1"/>
  <c r="H223" i="1" s="1"/>
  <c r="H104" i="1"/>
  <c r="E134" i="1"/>
  <c r="E140" i="1"/>
  <c r="F207" i="1"/>
  <c r="F14" i="1"/>
  <c r="H85" i="1"/>
  <c r="F234" i="1"/>
  <c r="H74" i="1"/>
  <c r="F223" i="1"/>
  <c r="G610" i="2"/>
  <c r="F610" i="2"/>
  <c r="H616" i="2"/>
  <c r="H611" i="2"/>
  <c r="H601" i="2"/>
  <c r="E601" i="2"/>
  <c r="H572" i="2"/>
  <c r="F535" i="2"/>
  <c r="H544" i="2"/>
  <c r="E544" i="2"/>
  <c r="H512" i="2"/>
  <c r="E490" i="2"/>
  <c r="F485" i="2"/>
  <c r="H490" i="2"/>
  <c r="H470" i="2"/>
  <c r="H469" i="2" s="1"/>
  <c r="F386" i="2"/>
  <c r="H431" i="2"/>
  <c r="H412" i="2"/>
  <c r="G386" i="2"/>
  <c r="H404" i="2"/>
  <c r="H402" i="2" s="1"/>
  <c r="H389" i="2"/>
  <c r="H367" i="2"/>
  <c r="E311" i="2"/>
  <c r="H311" i="2"/>
  <c r="E292" i="2"/>
  <c r="H292" i="2"/>
  <c r="G216" i="2"/>
  <c r="H217" i="2"/>
  <c r="E217" i="2"/>
  <c r="E186" i="2"/>
  <c r="H186" i="2"/>
  <c r="F82" i="2"/>
  <c r="E223" i="1"/>
  <c r="H208" i="1"/>
  <c r="H202" i="1"/>
  <c r="H189" i="1"/>
  <c r="F111" i="1"/>
  <c r="H134" i="1"/>
  <c r="E112" i="1"/>
  <c r="H112" i="1"/>
  <c r="E74" i="1"/>
  <c r="F49" i="1"/>
  <c r="F31" i="1"/>
  <c r="H32" i="1"/>
  <c r="H21" i="1"/>
  <c r="H31" i="11"/>
  <c r="H30" i="11" s="1"/>
  <c r="H35" i="18"/>
  <c r="H32" i="18" s="1"/>
  <c r="H24" i="18"/>
  <c r="H23" i="18" s="1"/>
  <c r="E46" i="18"/>
  <c r="H9" i="18"/>
  <c r="H6" i="18" s="1"/>
  <c r="H61" i="12"/>
  <c r="H60" i="12" s="1"/>
  <c r="F60" i="12"/>
  <c r="E60" i="12"/>
  <c r="H85" i="5"/>
  <c r="H81" i="5" s="1"/>
  <c r="F89" i="5"/>
  <c r="G89" i="5"/>
  <c r="H89" i="5"/>
  <c r="E92" i="5"/>
  <c r="E81" i="5"/>
  <c r="H51" i="5"/>
  <c r="H50" i="5" s="1"/>
  <c r="E51" i="5"/>
  <c r="E50" i="5" s="1"/>
  <c r="H20" i="5"/>
  <c r="H13" i="5" s="1"/>
  <c r="E23" i="5"/>
  <c r="H6" i="5"/>
  <c r="F56" i="28"/>
  <c r="H15" i="28"/>
  <c r="H14" i="28" s="1"/>
  <c r="F96" i="5" l="1"/>
  <c r="H20" i="12"/>
  <c r="H198" i="23"/>
  <c r="F82" i="12"/>
  <c r="G96" i="5"/>
  <c r="H50" i="28"/>
  <c r="E29" i="28"/>
  <c r="H29" i="28"/>
  <c r="H14" i="1"/>
  <c r="H234" i="1"/>
  <c r="G244" i="1"/>
  <c r="E14" i="1"/>
  <c r="E188" i="1"/>
  <c r="H69" i="1"/>
  <c r="H68" i="1" s="1"/>
  <c r="F68" i="1"/>
  <c r="F244" i="1" s="1"/>
  <c r="E149" i="1"/>
  <c r="H188" i="1"/>
  <c r="E31" i="1"/>
  <c r="E244" i="1" s="1"/>
  <c r="H180" i="1"/>
  <c r="H179" i="1" s="1"/>
  <c r="E5" i="2"/>
  <c r="H56" i="28"/>
  <c r="H149" i="1"/>
  <c r="E475" i="2"/>
  <c r="H5" i="2"/>
  <c r="E54" i="2"/>
  <c r="H50" i="2"/>
  <c r="H30" i="2" s="1"/>
  <c r="H71" i="2"/>
  <c r="E171" i="2"/>
  <c r="H150" i="2"/>
  <c r="H54" i="2"/>
  <c r="E30" i="2"/>
  <c r="H165" i="23"/>
  <c r="E584" i="2"/>
  <c r="H584" i="2"/>
  <c r="H95" i="23"/>
  <c r="H183" i="23"/>
  <c r="E150" i="2"/>
  <c r="E82" i="2"/>
  <c r="E357" i="2"/>
  <c r="H171" i="2"/>
  <c r="H357" i="2"/>
  <c r="E610" i="2"/>
  <c r="E20" i="12"/>
  <c r="E82" i="12" s="1"/>
  <c r="H82" i="12"/>
  <c r="H52" i="22"/>
  <c r="E485" i="2"/>
  <c r="E386" i="2"/>
  <c r="E535" i="2"/>
  <c r="H82" i="2"/>
  <c r="E36" i="11"/>
  <c r="H29" i="11"/>
  <c r="H36" i="11" s="1"/>
  <c r="E111" i="1"/>
  <c r="E73" i="1"/>
  <c r="H49" i="1"/>
  <c r="H111" i="1"/>
  <c r="H31" i="1"/>
  <c r="H73" i="1"/>
  <c r="H207" i="1"/>
  <c r="H610" i="2"/>
  <c r="H535" i="2"/>
  <c r="H485" i="2"/>
  <c r="F645" i="2"/>
  <c r="G645" i="2"/>
  <c r="H386" i="2"/>
  <c r="E216" i="2"/>
  <c r="H216" i="2"/>
  <c r="H46" i="18"/>
  <c r="E96" i="5"/>
  <c r="H96" i="5"/>
  <c r="H244" i="1" l="1"/>
  <c r="E645" i="2"/>
  <c r="H645" i="2"/>
  <c r="H33" i="23"/>
  <c r="H19" i="23" s="1"/>
  <c r="H222" i="23" s="1"/>
  <c r="F43" i="18"/>
  <c r="G43" i="18"/>
  <c r="G46" i="18"/>
</calcChain>
</file>

<file path=xl/sharedStrings.xml><?xml version="1.0" encoding="utf-8"?>
<sst xmlns="http://schemas.openxmlformats.org/spreadsheetml/2006/main" count="1968" uniqueCount="536">
  <si>
    <t>Dział</t>
  </si>
  <si>
    <t>Rozdział</t>
  </si>
  <si>
    <t>§</t>
  </si>
  <si>
    <t>Wyszczególnienie</t>
  </si>
  <si>
    <t>Plan</t>
  </si>
  <si>
    <t>Rolnictwo i łowiectwo</t>
  </si>
  <si>
    <t>Infrastruktura sanitacyjna wsi</t>
  </si>
  <si>
    <t>Wpływy z najmu i dzierżawy składników majątkowych Skarbu Państwa, jednostek samorządu terytorialnego lub innych jednostek zaliczanych do sektora finansów publicznych oraz innych umów o podobnym charakterze</t>
  </si>
  <si>
    <t>Pozostała działalność</t>
  </si>
  <si>
    <t>Dotacja celowa otrzymana z budżetu państwa na realizację zadań bieżących z zakresu administracji rządowej oraz innych zadań zleconych gminie (związkom gmin, związkom powiatowo-gminnym) ustawami</t>
  </si>
  <si>
    <t>Leśnictwo</t>
  </si>
  <si>
    <t>Gospodarka leśna</t>
  </si>
  <si>
    <t>Transport i łączność</t>
  </si>
  <si>
    <t>Krajowe pasażerskie przewozy kolejowe</t>
  </si>
  <si>
    <t>Lokalny transport zbiorowy</t>
  </si>
  <si>
    <t>Drogi publiczne powiatowe</t>
  </si>
  <si>
    <t>Drogi publiczne gminne</t>
  </si>
  <si>
    <t>Dotacja celowa otrzymana z tytułu pomocy finansowej udzielanej między jednostkami samorządu terytorialnego na dofinansowanie własnych zadań inwestycyjnych i zakupów inwestycyjnych</t>
  </si>
  <si>
    <t>Gospodarka mieszkaniowa</t>
  </si>
  <si>
    <t>Wpływy z różnych opłat</t>
  </si>
  <si>
    <t>Wpływy z pozostałych odsetek</t>
  </si>
  <si>
    <t>Gospodarka gruntami i nieruchomościami</t>
  </si>
  <si>
    <t>Wpływy z opłat z tytułu użytkowania wieczystego nieruchomości</t>
  </si>
  <si>
    <t>Wpływy z tytułu przekształcenia prawa użytkowania wieczystego w prawo własności</t>
  </si>
  <si>
    <t>Gospodarowanie mieszkaniowym zasobem gminy</t>
  </si>
  <si>
    <t>Wpływy z usług</t>
  </si>
  <si>
    <t>Działalność usługowa</t>
  </si>
  <si>
    <t>Dotacja celowa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</si>
  <si>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Administracja publiczna</t>
  </si>
  <si>
    <t>Urzędy wojewódzkie</t>
  </si>
  <si>
    <t>Urzędy gmin (miast i miast na prawach powiatu)</t>
  </si>
  <si>
    <t>Wpływy z różnych dochodów</t>
  </si>
  <si>
    <t>Urzędy naczelnych organów władzy państwowej, kontroli i ochrony prawa oraz sądownictwa</t>
  </si>
  <si>
    <t>Urzędy naczelnych organów władzy państwowej, kontroli i ochrony prawa</t>
  </si>
  <si>
    <t>Bezpieczeństwo publiczne i ochrona przeciwpożarowa</t>
  </si>
  <si>
    <t>Straż gminna (miejska)</t>
  </si>
  <si>
    <t>Wpływy z tytułu grzywien, mandatów i innych kar pieniężnych od osób fizycznych</t>
  </si>
  <si>
    <t>Dochody od osób prawnych, od osób fizycznych i od innych jednostek nieposiadających osobowości prawnej oraz wydatki związane z ich poborem</t>
  </si>
  <si>
    <t>Wpływy z podatku dochodowego od osób fizycznych</t>
  </si>
  <si>
    <t>Wpływy z podatku od działalności gospodarczej osób fizycznych, opłacanego w formie karty podatkowej</t>
  </si>
  <si>
    <t>Wpływy z odsetek od nieterminowych wpłat z tytułu podatków i opłat</t>
  </si>
  <si>
    <t>Wpływy z podatku rolnego, podatku leśnego, podatku od czynności cywilnoprawnych, podatków i opłat lokalnych od osób prawnych i innych jednostek organizacyjnych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</si>
  <si>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</si>
  <si>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</si>
  <si>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</si>
  <si>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</si>
  <si>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czynności cywilnoprawnych</t>
  </si>
  <si>
    <t>Wpływy z podatku od spadków i darowizn</t>
  </si>
  <si>
    <t>Wpływy z innych opłat stanowiących dochody jednostek samorządu terytorialnego na podstawie ustaw</t>
  </si>
  <si>
    <t>Wpływy z opłaty skarbowej</t>
  </si>
  <si>
    <t>Wpływy z opłat za zezwolenia na sprzedaż napojów alkoholowych</t>
  </si>
  <si>
    <t>Wpływy z innych lokalnych opłat pobieranych przez jednostki samorządu terytorialnego na podstawie odrębnych ustaw</t>
  </si>
  <si>
    <t>Udziały gmin w podatkach stanowiących dochód budżetu państwa</t>
  </si>
  <si>
    <t>Wpływy z podatku dochodowego od osób prawnych</t>
  </si>
  <si>
    <t>Różne rozliczenia</t>
  </si>
  <si>
    <t>Część oświatowa subwencji ogólnej dla jednostek samorządu terytorialnego</t>
  </si>
  <si>
    <t>Subwencje ogólne z budżetu państwa</t>
  </si>
  <si>
    <t>Różne rozliczenia finansowe</t>
  </si>
  <si>
    <t>Oświata i wychowanie</t>
  </si>
  <si>
    <t>Szkoły podstawowe</t>
  </si>
  <si>
    <t>Oddziały przedszkolne w szkołach podstawowych</t>
  </si>
  <si>
    <t>Dotacja celowa otrzymana z gminy na zadania bieżące realizowane na podstawie porozumień (umów) między jednostkami samorządu terytorialnego</t>
  </si>
  <si>
    <t xml:space="preserve">Przedszkola </t>
  </si>
  <si>
    <t>Wpływy z opłat za korzystanie z wychowania przedszkolnego</t>
  </si>
  <si>
    <t>Wpływy z opłat za korzystanie z wyżywienia w jednostkach realizujących zadania z zakresu wychowania przedszkolnego</t>
  </si>
  <si>
    <t>Dotacja celowa otrzymana z budżetu państwa na realizację własnych zadań bieżących gmin (związków gmin, związków powiatowo-gminnych)</t>
  </si>
  <si>
    <t>Inne formy wychowania przedszkolnego</t>
  </si>
  <si>
    <t>Pomoc społeczna</t>
  </si>
  <si>
    <t>Domy pomocy społecznej</t>
  </si>
  <si>
    <t>Składki na ubezpieczenie zdrowotne opłacane za osoby pobierające niektóre świadczenia z pomocy społecznej oraz za osoby uczestniczące w zajęciach w centrum integracji społecznej</t>
  </si>
  <si>
    <t>Zasiłki okresowe, celowe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</si>
  <si>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</si>
  <si>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</si>
  <si>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</si>
  <si>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</si>
  <si>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Pomoc w zakresie dożywiania</t>
  </si>
  <si>
    <t>Centra integracji społecznej</t>
  </si>
  <si>
    <t>Pozostałe zadania w zakresie polityki społecznej</t>
  </si>
  <si>
    <t>Edukacyjna opieka wychowawcza</t>
  </si>
  <si>
    <t>Pomoc materialna dla uczniów o charakterze socjalnym</t>
  </si>
  <si>
    <t>Rodzina</t>
  </si>
  <si>
    <t xml:space="preserve">Świadczenia rodzinne, świadczenie z funduszu alimentacyjnego oraz składki na ubezpieczenia emerytalne i rentowe z ubezpieczenia społecznego_x000D_
</t>
  </si>
  <si>
    <t>Składki na ubezpieczenie zdrowotne opłacane za osoby pobierające niektóre świadczenia rodzinne oraz za osoby pobierające zasiłki dla opiekunów</t>
  </si>
  <si>
    <t>System opieki nad dziećmi w wieku do lat 3</t>
  </si>
  <si>
    <t>Gospodarka komunalna i ochrona środowiska</t>
  </si>
  <si>
    <t>Gospodarka ściekowa i ochrona wód</t>
  </si>
  <si>
    <t>Utrzymanie zieleni w miastach i gminach</t>
  </si>
  <si>
    <t>Ochrona powietrza atmosferycznego i klimatu</t>
  </si>
  <si>
    <t>Wpływy i wydatki związane z gromadzeniem środków z opłat i kar za korzystanie ze środowiska</t>
  </si>
  <si>
    <t>Kultura fizyczna</t>
  </si>
  <si>
    <t>Instytucje kultury fizycznej</t>
  </si>
  <si>
    <t>OGÓŁEM:</t>
  </si>
  <si>
    <t>Melioracje wodne</t>
  </si>
  <si>
    <t>Zakup usług pozostałych</t>
  </si>
  <si>
    <t>Spółki wodne</t>
  </si>
  <si>
    <t>Różne opłaty i składki</t>
  </si>
  <si>
    <t>Izby rolnicze</t>
  </si>
  <si>
    <t>Wpłaty gmin na rzecz izb rolniczych w wysokości 2% uzyskanych wpływów z podatku rolnego</t>
  </si>
  <si>
    <t>Wydatki inwestycyjne jednostek budżetowych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</si>
  <si>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</si>
  <si>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</si>
  <si>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</si>
  <si>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</si>
  <si>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Wpłaty na PPK finansowane przez podmiot zatrudniający</t>
  </si>
  <si>
    <t>Wytwarzanie i zaopatrywanie w energię elektryczną, gaz i wodę</t>
  </si>
  <si>
    <t>Dostarczanie wody</t>
  </si>
  <si>
    <t>Dotacja celowa na pomoc finansową udzielaną między jednostkami samorządu terytorialnego na dofinansowanie własnych zadań bieżących</t>
  </si>
  <si>
    <t>Dotacja celowa przekazana gminie na zadania bieżące realizowane na podstawie porozumień (umów) między jednostkami samorządu terytorialnego</t>
  </si>
  <si>
    <t>Opłaty na rzecz budżetów jednostek samorządu terytorialnego</t>
  </si>
  <si>
    <t>Dotacja celowa na pomoc finansową udzielaną między jednostkami samorządu terytorialnego na dofinansowanie własnych zadań inwestycyjnych i zakupów inwestycyjnych</t>
  </si>
  <si>
    <t>Zakup usług remontowych</t>
  </si>
  <si>
    <t>Zakup energii</t>
  </si>
  <si>
    <t>Wydatki na zakupy inwestycyjne jednostek budżetowych</t>
  </si>
  <si>
    <t>Plany zagospodarowania przestrzennego</t>
  </si>
  <si>
    <t>Zadania z zakresu geodezji i kartografii</t>
  </si>
  <si>
    <t>Koszty postępowania sądowego i prokuratorskiego</t>
  </si>
  <si>
    <t>Wynagrodzenia osobowe pracowników</t>
  </si>
  <si>
    <t>Rady gmin (miast i miast na prawach powiatu)</t>
  </si>
  <si>
    <t xml:space="preserve">Różne wydatki na rzecz osób fizycznych </t>
  </si>
  <si>
    <t>Wydatki osobowe niezaliczone do wynagrodzeń</t>
  </si>
  <si>
    <t>Dodatkowe wynagrodzenie roczne</t>
  </si>
  <si>
    <t>Wpłaty na Państwowy Fundusz Rehabilitacji Osób Niepełnosprawnych</t>
  </si>
  <si>
    <t>Zakup środków żywności</t>
  </si>
  <si>
    <t>Zakup usług zdrowotnych</t>
  </si>
  <si>
    <t>Opłaty z tytułu zakupu usług telekomunikacyjnych</t>
  </si>
  <si>
    <t>Podróże służbowe krajowe</t>
  </si>
  <si>
    <t>Podróże służbowe zagraniczne</t>
  </si>
  <si>
    <t>Odpisy na zakładowy fundusz świadczeń socjalnych</t>
  </si>
  <si>
    <t xml:space="preserve">Szkolenia pracowników niebędących członkami korpusu służby cywilnej </t>
  </si>
  <si>
    <t>Promocja jednostek samorządu terytorialnego</t>
  </si>
  <si>
    <t>Wspólna obsługa jednostek samorządu terytorialnego</t>
  </si>
  <si>
    <t>Wynagrodzenia agencyjno-prowizyjne</t>
  </si>
  <si>
    <t>Ochotnicze straże pożarne</t>
  </si>
  <si>
    <t>Obrona cywilna</t>
  </si>
  <si>
    <t>Obsługa długu publicznego</t>
  </si>
  <si>
    <t>Obsługa papierów wartościowych, kredytów i pożyczek oraz innych zobowiązań jednostek samorządu terytorialnego zaliczanych do tytułu dłużnego – kredyty i pożyczki</t>
  </si>
  <si>
    <t>Koszty emisji samorządowych papierów wartościowych oraz inne opłaty i prowizje</t>
  </si>
  <si>
    <t>Odsetki od samorządowych papierów wartościowych lub zaciągniętych przez jednostkę samorządu terytorialnego kredytów i pożyczek</t>
  </si>
  <si>
    <t>Rezerwy ogólne i celowe</t>
  </si>
  <si>
    <t>Rezerwy</t>
  </si>
  <si>
    <t>Część równoważąca subwencji ogólnej dla gmin</t>
  </si>
  <si>
    <t>Wpłaty jednostek samorządu terytorialnego do budżetu państwa</t>
  </si>
  <si>
    <t>Dotacja podmiotowa z budżetu dla niepublicznej jednostki systemu oświaty</t>
  </si>
  <si>
    <t>Stypendia dla uczniów</t>
  </si>
  <si>
    <t>Inne formy pomocy dla uczniów</t>
  </si>
  <si>
    <t>Zakup środków dydaktycznych i książek</t>
  </si>
  <si>
    <t>Wynagrodzenia osobowe nauczycieli</t>
  </si>
  <si>
    <t>Dodatkowe wynagrodzenie roczne nauczycieli</t>
  </si>
  <si>
    <t>Zakup usług przez jednostki samorządu terytorialnego od innych jednostek samorządu terytorialnego</t>
  </si>
  <si>
    <t>Dotacja podmiotowa z budżetu dla publicznej jednostki systemu oświaty prowadzonej przez osobę prawną inną niż jednostka samorządu terytorialnego lub przez osobę fizyczną</t>
  </si>
  <si>
    <t>Świetlice szkolne</t>
  </si>
  <si>
    <t>Dowożenie uczniów do szkół</t>
  </si>
  <si>
    <t>Szkoły artystyczne</t>
  </si>
  <si>
    <t>Dokształcanie i doskonalenie nauczycieli</t>
  </si>
  <si>
    <t>Realizacja zadań wymagających stosowania specjalnej organizacji nauki i metod pracy dla dzieci w przedszkolach, oddziałach przedszkolnych w szkołach podstawowych i innych formach wychowania przedszkolnego</t>
  </si>
  <si>
    <t>Ochrona zdrowia</t>
  </si>
  <si>
    <t>Zwalczanie narkomanii</t>
  </si>
  <si>
    <t>Przeciwdziałanie alkoholizmowi</t>
  </si>
  <si>
    <t>Izby wytrzeźwień</t>
  </si>
  <si>
    <t>Zadania w zakresie przeciwdziałania przemocy w rodzinie</t>
  </si>
  <si>
    <t>Składki na ubezpieczenie zdrowotne</t>
  </si>
  <si>
    <t>Świadczenia społeczne</t>
  </si>
  <si>
    <t>Poradnie psychologiczno-pedagogiczne, w tym poradnie specjalistyczne</t>
  </si>
  <si>
    <t>Pomoc materialna dla uczniów o charakterze motywacyjnym</t>
  </si>
  <si>
    <t>Wspieranie rodziny</t>
  </si>
  <si>
    <t>Rodziny zastępcze</t>
  </si>
  <si>
    <t>Dotacja celowa z budżetu na finansowanie lub dofinansowanie zadań zleconych do realizacji pozostałym jednostkom nie zaliczanym do sektora finansów publicznych</t>
  </si>
  <si>
    <t>Oczyszczanie miast i wsi</t>
  </si>
  <si>
    <t>Dotacja celowa z budżetu na finansowanie lub dofinansowanie kosztów realizacji inwestycji i zakupów inwestycyjnych jednostek nie zaliczanych do sektora finansów publicznych</t>
  </si>
  <si>
    <t>Ochrona różnorodności biologicznej i krajobrazu</t>
  </si>
  <si>
    <t>Schroniska dla zwierząt</t>
  </si>
  <si>
    <t>Wpłaty gmin i powiatów na rzecz innych jednostek samorządu terytorialnego oraz związków gmin, związków powiatowo-gminnych, związków powiatów, związków metropolitalnych na dofinansowanie zadań bieżących</t>
  </si>
  <si>
    <t>Oświetlenie ulic, placów i dróg</t>
  </si>
  <si>
    <t>Pozostałe działania związane z gospodarką odpadami</t>
  </si>
  <si>
    <t>Dotacja celowa przekazana dla powiatu na zadania bieżące realizowane na podstawie porozumień (umów) między jednostkami samorządu terytorialnego</t>
  </si>
  <si>
    <t>Kultura i ochrona dziedzictwa narodowego</t>
  </si>
  <si>
    <t>Pozostałe zadania w zakresie kultury</t>
  </si>
  <si>
    <t>Domy i ośrodki kultury, świetlice i kluby</t>
  </si>
  <si>
    <t>Dotacja podmiotowa z budżetu dla samorządowej instytucji kultury</t>
  </si>
  <si>
    <t>Biblioteki</t>
  </si>
  <si>
    <t>Ochrona zabytków i opieka nad zabytkami</t>
  </si>
  <si>
    <t>Obiekty sportowe</t>
  </si>
  <si>
    <t>Zakup usług obejmujących wykonanie ekspertyz, analiz i opinii</t>
  </si>
  <si>
    <t>Zadania w zakresie kultury fizycznej</t>
  </si>
  <si>
    <t>II.</t>
  </si>
  <si>
    <t>III.</t>
  </si>
  <si>
    <t>Plan dochodów związanych z realizacją zadań z zakresu administracji rządowej</t>
  </si>
  <si>
    <t>Środki otrzymane z Rządowego Funduszu Polski Ład: Program Inwestycji Strategicznych na realizację zadań inwestycyjnych</t>
  </si>
  <si>
    <t>Świadczenia rodzinne, świadczenie z funduszu alimentacyjnego oraz składki na ubezpieczenia emerytalne i rentowe z ubezpieczenia społecznego</t>
  </si>
  <si>
    <t>Wpływy z części opłaty za zezwolenie na sprzedaż napojów alkoholowych w obrocie hurtowym</t>
  </si>
  <si>
    <t>Plan dotacji na zadania realizowane na podstawie porozumień (umów) między j.s.t.</t>
  </si>
  <si>
    <t>II. Wydatki na realizację zadań, realizowanych na podstawie porozumień lub umów z innymi j.s.t.</t>
  </si>
  <si>
    <t>Funkcjonowanie przystanków komunikacyjnych</t>
  </si>
  <si>
    <t>Treść</t>
  </si>
  <si>
    <t>Zestawienie planowanych kwot dotacji</t>
  </si>
  <si>
    <t xml:space="preserve">I. Dotacje dla jednostek sektora finansów publicznych </t>
  </si>
  <si>
    <t>Nazwa dotacji</t>
  </si>
  <si>
    <t>Kwota w zł</t>
  </si>
  <si>
    <t xml:space="preserve">Dotacja celowa </t>
  </si>
  <si>
    <t>Dotacja celowa</t>
  </si>
  <si>
    <t>Dotacja podmiotowa</t>
  </si>
  <si>
    <t xml:space="preserve">II. Dotacje dla jednostek spoza sektora finansów publicznych </t>
  </si>
  <si>
    <t xml:space="preserve">Dotacja podmiotowa        </t>
  </si>
  <si>
    <t>Dochody majątkowe 2024 rok</t>
  </si>
  <si>
    <t xml:space="preserve">BUDŻET  2024 -  DOCHODY  </t>
  </si>
  <si>
    <t>BUDŻET  2024 -  WYDATKI</t>
  </si>
  <si>
    <t>Wpłaty gmin i powiatów na rzecz innych jednostek samorządu terytorialnego oraz związków gmin, związków powiatowo-gminnych lub związków powiatów na dofinansowanie zadań inwestycyjnych i zakupów inwestycyjnych</t>
  </si>
  <si>
    <t>Środki na dofinansowanie własnych inwestycji gmin, powiatów (związków gmin, związków powiatowo-gminnych, związków powiatów)</t>
  </si>
  <si>
    <t>Wpływy z podatku rolnego, podatku leśnego, podatku od spadków i darowizn, podatku od czynności cywilno-prawnych oraz podatków i opłat lokalnych od osób fizycznych</t>
  </si>
  <si>
    <t>śrdoki z Funduszu Przeciwdziałania COVID-19 na finansowanie lub dofinansowanie kosztów realizacji inwestycji i zakupów inwestycyjnych związanych z przeciwdziałaniem COVID-19</t>
  </si>
  <si>
    <t>Programy polityki zdrowotnej</t>
  </si>
  <si>
    <t>Dotacja celowa przekazana z budżetu jednostki samorządu terytorialnego na dofinansowanie realizacji zadań w zakresie programów polityki zdrowotnej</t>
  </si>
  <si>
    <t xml:space="preserve">udzielanych z budżetu Gminy w 2024 roku </t>
  </si>
  <si>
    <t>I. Dochody</t>
  </si>
  <si>
    <t>II. Wydatki</t>
  </si>
  <si>
    <t>Wydatki poniesione ze środków z Rządowego Funduszu Polski Ład: Program Inwestycji Strategicznych na realizację zadań inwestycyjnych</t>
  </si>
  <si>
    <t xml:space="preserve">w 2024 roku </t>
  </si>
  <si>
    <t>Śrdoki z Funduszu Przeciwdziałania COVID-19 na finansowanie lub dofinansowanie kosztów realizacji inwestycji i zakupów inwestycyjnych związanych z przeciwdziałaniem COVID-19</t>
  </si>
  <si>
    <t>Dotacja celowa przekazana z budżetu na finansowaanie lub dofinansowanie realizacji zadań inwestycyjnych obiektów zabytkowych jednostkom niezaliczanym do sektora finansów publicznych</t>
  </si>
  <si>
    <t>Pozostałe podatki na rzecz budżetów jednostek saomorządów terytorialnych</t>
  </si>
  <si>
    <t>2006-2010</t>
  </si>
  <si>
    <t>Jednostka  organizacyjna  realizująca  program / zadanie</t>
  </si>
  <si>
    <t>Okres realizacji programu/zadania</t>
  </si>
  <si>
    <t>Łączne  nakłady  finansowe  w zł</t>
  </si>
  <si>
    <t>Budowa zbiornika retencyjnego na działce nr ewid. 2/2, obręb Rosnowo - Szreniawa</t>
  </si>
  <si>
    <t>Urząd Gminy Komorniki</t>
  </si>
  <si>
    <t>2023-2024</t>
  </si>
  <si>
    <t>Wpłata na rzecz Związku Powiatowo-Gminnego "Wielkopolski Transport Regionalny" dotycząca zakupu 25 autobusów niskoemisyjnych</t>
  </si>
  <si>
    <t>2021-2024</t>
  </si>
  <si>
    <t>Rozbudowa drogi powiatowej nr 2390P Komorniki - Łęczyca w m. Wiry poprzez wykonanie drogi dla pieszych, jako odrębnego przejścia pod linią kolejową nr 357 Sulechów - Luboń</t>
  </si>
  <si>
    <t>Budowa ul. Promykowej w Wirach</t>
  </si>
  <si>
    <t>2018-2024</t>
  </si>
  <si>
    <t>Wspieranie strategii niskoemisyjnej na terenie Gminy Komorniki poprzez budowę węzła przesiadkowgo w Szreniawie oraz zakup autobusu</t>
  </si>
  <si>
    <t>2017-2025</t>
  </si>
  <si>
    <t>2019-2024</t>
  </si>
  <si>
    <t>Budowa ul.Polnej w Chomęcicach etap II</t>
  </si>
  <si>
    <t>2022-2025</t>
  </si>
  <si>
    <t>Budowa ul. Miodowej w Plewiskach</t>
  </si>
  <si>
    <t>Budowa ul. Truskawowej w Komornikach</t>
  </si>
  <si>
    <t>Budowa ul. Wiosennej i ul. Pogodnej w Komornikach</t>
  </si>
  <si>
    <t>Budowa ul. Wąskiej w Komornikach</t>
  </si>
  <si>
    <t>Budowa ul. Stawnej w Głuchowie</t>
  </si>
  <si>
    <t>Budowa ul. Szkolnej w Chomęcicach</t>
  </si>
  <si>
    <t>Przebudowa odcinka ul. Głuchowskiej w Chomęcicach</t>
  </si>
  <si>
    <t>Budowa ul. Cichej i Wschodniej w Plewiskach</t>
  </si>
  <si>
    <t>Budowa ul. Wiosennej w Plewiskach</t>
  </si>
  <si>
    <t>Przebudowa ul. Kolejowej w Plewiskach, od wiaduktu kolejowego do skrzyżowania z ulicą Grunwaldzką</t>
  </si>
  <si>
    <t>2023-2025</t>
  </si>
  <si>
    <t>Budowa ul. Zimowej w Plewiskach</t>
  </si>
  <si>
    <t>Budowa ul. Stanisława Moniuszki i ul. Fryderyka Chopina w Szreniawie</t>
  </si>
  <si>
    <t>Rozudowa ul. Brzozowej w Walerianowie</t>
  </si>
  <si>
    <t>Budowa ul. Podleśnej w Wirach</t>
  </si>
  <si>
    <t>Wykup gruntów i nieruchomości</t>
  </si>
  <si>
    <t>Zabezpieczenia ppoż budynku w Wirach przy ulicy Szreniawskiej 6</t>
  </si>
  <si>
    <t>Budowa budynku komunalnego w Plewiskach</t>
  </si>
  <si>
    <t>2022-2024</t>
  </si>
  <si>
    <t>Plany zagospodarowania przestrzennego - Pozyskiwanie terenów na cele inwestycyjne</t>
  </si>
  <si>
    <t>Zakupy inwestycyjne dla Urzędu Gminy</t>
  </si>
  <si>
    <t>Zakupy inwestycyjne OC</t>
  </si>
  <si>
    <t>Budowa systemu monitoringu Gminy Komorniki</t>
  </si>
  <si>
    <t>2015-2026</t>
  </si>
  <si>
    <t>Budowa Szkoły Podstawowej w Wirach</t>
  </si>
  <si>
    <t>2016-2024</t>
  </si>
  <si>
    <t>Budowa Sali gimnastycznej przy rozbudowywanej Szkole Podstawowej w Chomęcicach</t>
  </si>
  <si>
    <t>Rozbudowa Szkoły Podstawowej Nr 2 w Plewiskach</t>
  </si>
  <si>
    <t>Budowa instalacji fotowoltaicznej na budynku Szkoły Podstawowej nr 1 w Komornikach</t>
  </si>
  <si>
    <t>Dofinansowanie kosztów inwestycji proekologicznych (wymiana źródeł ciepła)</t>
  </si>
  <si>
    <t>Dofinansowanie kosztów inwestycji proekologicznych (deszczówka)</t>
  </si>
  <si>
    <t>Budowa Domu Kultury w Szreniawie</t>
  </si>
  <si>
    <t>Przebudowa i adaptacja budynku "Organistówka"                             w Komornikach przy ul. Kościelnej</t>
  </si>
  <si>
    <t>Budowa skateparku w Komornikach</t>
  </si>
  <si>
    <t>Budowa Pływalni w Plewiskach</t>
  </si>
  <si>
    <t>2019-2026</t>
  </si>
  <si>
    <t>Wysokość  wydatków                         w zł  w 2024r.</t>
  </si>
  <si>
    <t>Wydatki majątkowe - zadania inwestycyjne w 2024 roku</t>
  </si>
  <si>
    <t xml:space="preserve">Budowa ścieżki rowerowej Komorniki – Plewiska </t>
  </si>
  <si>
    <t>Poprawa odwodnienia na drodze powiatowej 2390P Komorniki-Łęczyca w m.Wiry w okolicy dz.nr 9/9, obręb Wiry</t>
  </si>
  <si>
    <t>Budowa drogi ul. Gerwazego, Ks.Robaka, Jankiela, Horedszki w Komornikach</t>
  </si>
  <si>
    <t>Budowa ul. Lubońskiej w Komornikach</t>
  </si>
  <si>
    <t>2024-2025</t>
  </si>
  <si>
    <t>Budowa ul. Wrzosowej w Plewiskach</t>
  </si>
  <si>
    <t>Budowa chodnika na ul. Bukowej w Walerianowie - ostatni odcinek</t>
  </si>
  <si>
    <t>Budowa ul. Żabikowskiej w Wirach - etap I</t>
  </si>
  <si>
    <t>Rozbudowa ul. Kościelnej (odcinek Pocztowa - Poznańska) w m. Komorniki w zakresie budowy chodnika</t>
  </si>
  <si>
    <t>2014-2026</t>
  </si>
  <si>
    <t>Remont dachu budynku Szkoły Podstawowej nr 2 w Komornikach</t>
  </si>
  <si>
    <t>Zakup samochodu dla Straży Gminnej</t>
  </si>
  <si>
    <t>Budowa oświetlenia kortów w Wirach</t>
  </si>
  <si>
    <t>Budowa i zadaszenie boisk w Szreniawie</t>
  </si>
  <si>
    <t>Budowa indywidualnego systemu ogrzewania w mieszkaniach komunalnych w budynku  w Wirach przy ul. Szreniawskiej 6</t>
  </si>
  <si>
    <t xml:space="preserve">wykonanie garażu/magazynu na potrzeby Urzędu </t>
  </si>
  <si>
    <t>Cyberbezpieczny samorząd” (zabezpieczenie systemu informatycznego całego Urzędu przed wszelkimi atakami z cyberprzestrzeni)</t>
  </si>
  <si>
    <t>Remont budynku zabytkowej Szkoły w Chomęcicach</t>
  </si>
  <si>
    <t>Remont elewacji Kościoła Parafialnego pw. Św. Andrzeja Apostoła w Komornikach</t>
  </si>
  <si>
    <t>Remont dachu i elewacji zabytkowej plebanii w parafii pw. Św. Andrzeja Apostoła w Komornikach</t>
  </si>
  <si>
    <t>Odbudowa trzech mostków na Nadwarciańskiem Szlaku Rowerowym na terenie Wielkopolskiego Parku Narodowego</t>
  </si>
  <si>
    <t>KOWR dokumentacja projektowa (Zielone Wzgórze Komorniki)</t>
  </si>
  <si>
    <t>Zakupy inwestycyjne Szkoła Podstawowa w Chomęcicach</t>
  </si>
  <si>
    <t>Cyberbezpieczny samorząd (zabezpieczenie systemu informatycznego całego Urzędu przed wszelkimi atakami z cyberprzestrzeni)</t>
  </si>
  <si>
    <t>Wydatki majątkowe 2024 rok</t>
  </si>
  <si>
    <t>Dochody zlecone 2024 rok</t>
  </si>
  <si>
    <t>2014-2025</t>
  </si>
  <si>
    <t>Zakup wyposażenia do budowanej Sali gimnastycznej przy rozbudowywanej Szkole Podstawowej w Chomęcicach</t>
  </si>
  <si>
    <t xml:space="preserve">I. Plan wydatków na realizację zadań z zakresu administracji rządowej </t>
  </si>
  <si>
    <t>Budowa ul. Słonecznej w Chomęcicach</t>
  </si>
  <si>
    <t>Budowa ścieżki rekreacyjnej przy boisku w Rosnówku</t>
  </si>
  <si>
    <t>Lodowisko w Szreniawie</t>
  </si>
  <si>
    <t>Rekreacyjny Park Rodzinny "Nad Wirynką" etap II</t>
  </si>
  <si>
    <t>Budowa górki saneczkowej</t>
  </si>
  <si>
    <t>Tor dla rowerzystów i rolkarzy - pumptruck w Łęczycy</t>
  </si>
  <si>
    <t>Rewitalizacja terenu z wyspą w Chomęcicach - etap I</t>
  </si>
  <si>
    <t>Wydatki inwestycyjne dotyczące obiektów zabytkowych będących w użytkowaniu jednostek budżetowych</t>
  </si>
  <si>
    <t>zwiększenia</t>
  </si>
  <si>
    <t>zmniejszenia</t>
  </si>
  <si>
    <t>Plan                  po zmianach</t>
  </si>
  <si>
    <t>Zestawienie planu dochodów otrzymanych z Funduszu Pomocy</t>
  </si>
  <si>
    <t>i planu wydatków na realizację zadań dotyczących pomocy obywatelom Ukrainy</t>
  </si>
  <si>
    <t>Środki z Funduszu Pomocy na finansowanie lub dofinansowanie zadań bieżących w zakresie pomocy obywatelom Ukrainy</t>
  </si>
  <si>
    <t>Pomoc dla cudzoziemców</t>
  </si>
  <si>
    <t>Wynagrodzenia i uposażenia wypłacane w związku z pomocą obywatelom Ukrainy</t>
  </si>
  <si>
    <t>Świadczenia związane z udzielaniem pomocy obywatelom Ukrainy</t>
  </si>
  <si>
    <t>Zakup towarów (w szczególności materiałów, leków, żywności) w związku                     z pomocą obywatelom Ukrainy</t>
  </si>
  <si>
    <t>Składki i inne pochodne od wynagrodzeń pracowników wypłacanych w związku z pomocą obywatelom Ukrainy</t>
  </si>
  <si>
    <t>Zakup towarów (w szczególności materiałów, leków, żywności) w związku z pomocą obywatelom Ukrainy</t>
  </si>
  <si>
    <t xml:space="preserve">Dotacja celowa z budżetu jednostki samorządu terytorialnego, udzielona w trybie art.. 21 ustawy na finansowanie lub dofinansowanie zadań zleconych do realizacji organizacjom prowadzącym działalność pożytku publicznego </t>
  </si>
  <si>
    <t>Środki z Funduszu Przeciwdziałania COVID-19 na finansowaanie lub dofinansowanie realizacji zadań związanych z przeciwdziałaniem COVID-19</t>
  </si>
  <si>
    <t>Świadczenia społeczne wypłacane obywatelom Ukrainy przebywającym na terytorium RP</t>
  </si>
  <si>
    <t>Realizacja zadań wymagających stosowania specjalnej organizacji nauki i metod pracy dla dzieci i młodzieży w szkołach podstawowych</t>
  </si>
  <si>
    <t>Rozbudowa skrzyżowania ul. Fabianowskiej i ul. Skrytej w Plewiskch-budowa sygnalizacji świetlnej</t>
  </si>
  <si>
    <t>Zapewnienie uczniom prawa do bezpłatnego dostępu do podręczników, materiałów edukacyjnychl lub materiałów ćwiczeniowych</t>
  </si>
  <si>
    <t>Wpływy ze zwrotów niewykorzystanych dotacji oraz płatności</t>
  </si>
  <si>
    <t>Środki otrzymane z państwowych funduszy celowych na realizację zadań bieżących jednostek sektora finansów publicznych</t>
  </si>
  <si>
    <t>Zwrot niewykorzystanych dotacji oraz płatności</t>
  </si>
  <si>
    <t>Końcowe rozliczenie inwestorstwa zastępczego w ramach zadania inwestycyjnego pn. "Budowa zintegrowanego węzła transportowego Grunwaldzka w miejscu przejazdu przez linię kolejową E20"</t>
  </si>
  <si>
    <t>Wpływy ze zwrotów dotacji oraz płatności wykorzystanych niezgodnie z przeznaczeniem lub wykorzystanych z naruszeniem procedur, o których mowa w art. 184 ustawy, pobranych nienależnie lub w nadmiernej wysokości</t>
  </si>
  <si>
    <t>Różne jednostki obsługi gospodarki mieszkaniowej</t>
  </si>
  <si>
    <t>Wpływy z opłat za trwały zarzad, użytkowanie i służebności</t>
  </si>
  <si>
    <t>Wpływy z rozliczeń/zwrotów z lat ubiegłych</t>
  </si>
  <si>
    <t>Wpływy z opłat za koncesje i licencjee</t>
  </si>
  <si>
    <t>Środki na dofinansowanie własnych zadań bieżących gmin, powiatów (związków gmin, związków powiatowo-gminnych, związków powiatów), samorządów województw pozyskane z innych źródeł</t>
  </si>
  <si>
    <t>Karta Dużej Rodziny</t>
  </si>
  <si>
    <t>Dochody jednostek samorządu terytorialnego związane z realizacją zadań z zakresu administracji rządowej oraz innych zadań zleconych ustawami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</si>
  <si>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</si>
  <si>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Środki otrzymane od pozostałych jednostek zaliczanych do sektora finansów publicznych na realizację zadań bieżących jednostek zaliczanych do sektora finansów publicznych</t>
  </si>
  <si>
    <t>Wybory do rad gmin, rad powiatów i sejmików województw, wybory wójtów, burmistrzów i prezydentów miast oraz referennda gminne, powiatowe i wojewódzkie</t>
  </si>
  <si>
    <t>Wynagrodzenia nauczycieli wypłacane w związku z pomocą obywatelom Ukrainy</t>
  </si>
  <si>
    <t>Dotacja celowa z budżetu dla pozostałych jednostek zaliczanych do sektora finansów publicznych</t>
  </si>
  <si>
    <t>Pozostałe odsetki</t>
  </si>
  <si>
    <t>Zakup usług związanych z pomocą obywatelom Ukrainy</t>
  </si>
  <si>
    <t>Budowa ul. Piastowskiej w Komornikach</t>
  </si>
  <si>
    <t>WYDATKI ZLECONE 2024</t>
  </si>
  <si>
    <t>Wpływy z opłat za zezwolenia, akredytacje oraz opłaty ewidencyjne, w tym częstotliwość</t>
  </si>
  <si>
    <t>Pozostałe podatki na rzecz budżetów jednostek samorządów terytorialnych</t>
  </si>
  <si>
    <t xml:space="preserve">   I. Plan dotacji na realizację zadań z zakresu administracji rządowej </t>
  </si>
  <si>
    <t>Paragraf</t>
  </si>
  <si>
    <t xml:space="preserve"> </t>
  </si>
  <si>
    <t xml:space="preserve">         </t>
  </si>
  <si>
    <t>I. Środki na projekty i programy finansowane z budżetu UE  na 2024r.</t>
  </si>
  <si>
    <t xml:space="preserve">Nazwa </t>
  </si>
  <si>
    <t>Dz.</t>
  </si>
  <si>
    <t>Rozdz.</t>
  </si>
  <si>
    <t>Program Nr 1</t>
  </si>
  <si>
    <t>Dotacja celowa w ramach programów finansowanych z udziałem środków europejskich oraz środków, o których mowa w art.5 ust.3 pkt 5 lit. a i b ustawy, lub płatności w ramach budżetu środków europejskich, realizowanych przez jednostki samorządu terytorialnego</t>
  </si>
  <si>
    <t>II. Wydatki na projekty i programy ze środków z budżetu UE na 2024r.</t>
  </si>
  <si>
    <t>Jednostka realizująca program</t>
  </si>
  <si>
    <t>Środki z budżetu Unii Europejskiej</t>
  </si>
  <si>
    <t>Nazwa projektu</t>
  </si>
  <si>
    <t>Nazwa i cel programu</t>
  </si>
  <si>
    <t>Urząd Gminy</t>
  </si>
  <si>
    <t xml:space="preserve">Priorytet II: zaawansowane usługi cyfrowe, </t>
  </si>
  <si>
    <t>Komorniki</t>
  </si>
  <si>
    <t>Działanie 2.2-Wzmocnienie krajowego systemu cyberbezpieczeństwa</t>
  </si>
  <si>
    <t>Nazwa projektu:</t>
  </si>
  <si>
    <t>Cyberbezpieczny samorząd</t>
  </si>
  <si>
    <t>Cel programu:</t>
  </si>
  <si>
    <t>1.Zwiększenie poziomu bezpieczeństwa jst</t>
  </si>
  <si>
    <t>2. Uświadomienie zagrożeń w "cyberprzestrzeni"</t>
  </si>
  <si>
    <t xml:space="preserve">Zestawienie planu dochodów otrzymanych z Funduszu Przecwidziałania COVID-19 </t>
  </si>
  <si>
    <t xml:space="preserve">i planu wydatków na realizację programów finansowanych z Funduszu Przecwidziałania COVID-19 </t>
  </si>
  <si>
    <t>Środki budżetowe jednostek pomocniczych gminy</t>
  </si>
  <si>
    <t>Klasyfikacja  budżetowa</t>
  </si>
  <si>
    <t>Sołectwo Chomęcice</t>
  </si>
  <si>
    <t>Sołectwo Głuchowo</t>
  </si>
  <si>
    <t>Sołectwo Komorniki</t>
  </si>
  <si>
    <t>Sołectwo Łęczyca</t>
  </si>
  <si>
    <t>Sołectwo Plewiska</t>
  </si>
  <si>
    <t>Sołectwo Rosnówko</t>
  </si>
  <si>
    <t>Sołectwo Szreniawa</t>
  </si>
  <si>
    <t>Sołectwo Wiry</t>
  </si>
  <si>
    <t>RAZEM</t>
  </si>
  <si>
    <t xml:space="preserve">OGÓLNA KWOTA:     </t>
  </si>
  <si>
    <t xml:space="preserve">Wydatki w dziale 801 są większe o środki z 2023 roku w kwocie 25 594,08 zł </t>
  </si>
  <si>
    <t>Dotacja celowa w ramach programów finansowanych z udziałem środków europejskich oraz środków, o których mowa w art.5 ust.1 pkt. 3 oraz ust. 3 pkt 5 i 6 ustawy, lub płatności w ramach budżetu środków europejskich, z wyłączeniem dochodów klasyfikowanych w paragrafie 625</t>
  </si>
  <si>
    <t>Wybory do Parlamentu Europejskiego</t>
  </si>
  <si>
    <t>Część rozwojowa subwencji ogólnej dla jednostek samorządu terytorialnego</t>
  </si>
  <si>
    <t>Wpływy z tytułu kar i odszkodowań wynikających z umów</t>
  </si>
  <si>
    <t>Program Nr 2</t>
  </si>
  <si>
    <t>Fundusze Europejskie na rozwój cyfrowy 2021-2027</t>
  </si>
  <si>
    <t xml:space="preserve">Wydatki w dziale 921 są większe o środki z 2023 roku w kwocie 0,65 zł </t>
  </si>
  <si>
    <t>Wydatki na zakup i objęcie akcji i udziałów</t>
  </si>
  <si>
    <t xml:space="preserve">Modernizacja odcinka ul. Bukowej w Walerianowie </t>
  </si>
  <si>
    <t>Zakup kosy spalinowej dla Państowej Straży Pożarnej Jednostki Ratowniczo-Gaśniczej nr 2 w Poznaniu</t>
  </si>
  <si>
    <t>Poprawa jakości oświetlenia drogowego w Gminie Komorniki</t>
  </si>
  <si>
    <t>2023-2026</t>
  </si>
  <si>
    <t>Modernizacja podłóg w Przedszkolu Króla Maciusia I w Komornikach</t>
  </si>
  <si>
    <t>Budowa łącznika przy Szkole Podstawowej nr 2 w Plewiskach</t>
  </si>
  <si>
    <t>Budowa nowej siedziby OSP, Policji i Pogotowia Ratunkowego w Plewiskach</t>
  </si>
  <si>
    <t>Budowa placu zabaw przy ul. Malinowej w Komornikach</t>
  </si>
  <si>
    <t>2024-2026</t>
  </si>
  <si>
    <t>2024-2027</t>
  </si>
  <si>
    <t>Modernizacja budynków pofolwarcznych w Wirach</t>
  </si>
  <si>
    <t>Zwiększenie kompetencji kadry przedszkoli i realizacja zajęć dodatkowych, kompensacyjnych i wyrównujących szanse dzieci z terenu Gminy Komorniki</t>
  </si>
  <si>
    <t>Wpłaty jednostek na państwowy fundusz celowy na finansowanie lub dofinansowanie zadań inwestycyjnych</t>
  </si>
  <si>
    <t>Opracowanie projektu technicznego modernizacji budynku Przedszkola w Wirach</t>
  </si>
  <si>
    <t>Opłaty na rzecz budżetu państwa</t>
  </si>
  <si>
    <t>Fundusze Europejskie dla Wielkopolski 2021-2027</t>
  </si>
  <si>
    <t xml:space="preserve">Zwiększenie kompetencji kadry przedszkoli i realizacja zajęć </t>
  </si>
  <si>
    <t xml:space="preserve">dodatkowych, kompensacyjnych i wyrównujących szanse dzieci </t>
  </si>
  <si>
    <t>z terenu Gminy Komorniki</t>
  </si>
  <si>
    <t xml:space="preserve">1. Zwiększenie dostępności do edukacji przedszkolnej </t>
  </si>
  <si>
    <t xml:space="preserve">2. Rozszerzenie oferty placówek o dodatkowe zajęcia zwiększające </t>
  </si>
  <si>
    <t>3. Doposażenie placówek</t>
  </si>
  <si>
    <t>Komendy wojewódzkie Państwowej Straży Pożarnej</t>
  </si>
  <si>
    <t>Program Nr 3*</t>
  </si>
  <si>
    <t>Program Nr 4**</t>
  </si>
  <si>
    <t>Program Nr 5***</t>
  </si>
  <si>
    <t>Program Nr 6****</t>
  </si>
  <si>
    <t>*</t>
  </si>
  <si>
    <t>Dochody w ramach  programu nr 3 przewidziane są do realizacji w 2025 roku</t>
  </si>
  <si>
    <t>**</t>
  </si>
  <si>
    <t>***</t>
  </si>
  <si>
    <t>****</t>
  </si>
  <si>
    <t>Wydatki programu nr 4 zostały zrealizowane w 2023 roku</t>
  </si>
  <si>
    <r>
      <t>Nazwa programu nr 1*</t>
    </r>
    <r>
      <rPr>
        <sz val="11"/>
        <color theme="1"/>
        <rFont val="Calibri"/>
        <family val="2"/>
        <charset val="238"/>
        <scheme val="minor"/>
      </rPr>
      <t>:</t>
    </r>
  </si>
  <si>
    <t>Nazwa programu nr 2**:</t>
  </si>
  <si>
    <t>Nazwa programu nr 3***:</t>
  </si>
  <si>
    <t xml:space="preserve">    szanse edukacyjne dzieci</t>
  </si>
  <si>
    <t xml:space="preserve"> bezpieczeństwa informacji</t>
  </si>
  <si>
    <t xml:space="preserve">3. podniesienie wiedzy i kompetencji personelu jst w zakrsie </t>
  </si>
  <si>
    <t>środki są większe od dochodów o wkład własny, tj. o 161 904,00 zł</t>
  </si>
  <si>
    <t>środki są większe od dochodów o wkład własny, tj. o 52 030,00 zł</t>
  </si>
  <si>
    <t>1. stworzenie zintegrowanego systemu informatycznego do</t>
  </si>
  <si>
    <t xml:space="preserve">2. zwiększenie możliwości korzystania z szerokiego zakresu usług </t>
  </si>
  <si>
    <t xml:space="preserve">    publicznych dostępnych drogą elektroniczną </t>
  </si>
  <si>
    <t xml:space="preserve">   zarządzania Gminą Komorniki w  prywatnej chmurze obliczeniowej</t>
  </si>
  <si>
    <t xml:space="preserve">3. rozszerzenie zdefiniowanych procedur obsługi i standardów </t>
  </si>
  <si>
    <t xml:space="preserve">    informatycznych</t>
  </si>
  <si>
    <t>Wydatki programu nr 5 zostały zrealizowane w 2022 roku</t>
  </si>
  <si>
    <t xml:space="preserve">Wydatki programu nr 6 zostały zrealizowane w latach 2021-2022 </t>
  </si>
  <si>
    <t>Wpłaty z tytułu odpłatnego nabycia prawa własności oraz prawa użytkowania wieczystego nierchomości</t>
  </si>
  <si>
    <t>Rekommpensaty utraconych dochodów w podatkach i opłatach lokalnych</t>
  </si>
  <si>
    <t>Wpływy z opłat egzaminacyjnych oraz opłat za wydawnie świadectw, dyplomów, zaświadczeń, certyfikatów i ich duplikatów,</t>
  </si>
  <si>
    <t>środki są większe od dochodów o wkład własny, tj. o 37 000,00 zł</t>
  </si>
  <si>
    <t>Program Nr 7</t>
  </si>
  <si>
    <t xml:space="preserve">Odporność oraz Rozwój Ekonomii Społecznej i Przedsiębiorczości </t>
  </si>
  <si>
    <t>Społecznej na lata 2022-2025</t>
  </si>
  <si>
    <t>Wzmocnienie potencjału Centrum Integracji Społecznej do realizacji</t>
  </si>
  <si>
    <t>działań reintegracyjnych</t>
  </si>
  <si>
    <t xml:space="preserve">1. umożliwienie podmiotom ekonomii społecznej budowania </t>
  </si>
  <si>
    <t xml:space="preserve">   odporności na zmiany zachodzące na rynku</t>
  </si>
  <si>
    <t>2. zapewnienie instrumentów wsparcia pozwalających na rozwój</t>
  </si>
  <si>
    <t xml:space="preserve">    ich działalności</t>
  </si>
  <si>
    <t>Budowa ul. Tęczowej i Promykowej w Plewiskach</t>
  </si>
  <si>
    <t>Budowa ścieżki rowerowej Plewiska - Skórzewo, odcinek od wiaduktu kolejowego do granicy z m. Skórzewo</t>
  </si>
  <si>
    <t>Wzmocnienie potencjału Centrum Integracji Społecznej do realizacji działań reintegracyjnych</t>
  </si>
  <si>
    <t>2020-2025</t>
  </si>
  <si>
    <t>Budowa sieci dróg rowerowych na terenie Gminy Komorniki</t>
  </si>
  <si>
    <t>Budowa odcinków ul. Kminkowej i Szałwiowej w Plewiskach</t>
  </si>
  <si>
    <t>Budowa, przebudowa oraz remont drogi gminnej nr 326063P stanowiącej nieprzerwany ciąg drogowy - ul. 1 Maja w Rosnówku do ul. Bukowej w Walerianowie, Gmina Komorniki</t>
  </si>
  <si>
    <t>Zakupy inwestycyjne Szkoła Podstawowa Nr 1 w Komornikach</t>
  </si>
  <si>
    <t>Zakupy inwestycyjne Szkoła Podstawowa Nr 2 w Komornikach</t>
  </si>
  <si>
    <t xml:space="preserve">Budowa nowych odcinków sieci energetycznej w gminie </t>
  </si>
  <si>
    <t xml:space="preserve">Przebudowa hali sportowej przy ulicy Jeziornej w Komornikach </t>
  </si>
  <si>
    <t>Budowa instalacji fotowoltaicznej oraz popmy ciepła w Gminnym Ośrodku Sportu i Rekreacji w Komornikach</t>
  </si>
  <si>
    <t>w tym zadania zlecone: 101 441,92</t>
  </si>
  <si>
    <t xml:space="preserve">Dotacja celowa z budżetu jednostki samorządu terytorialnego, udzielona w trybie art. 21 ustawy na finansowanie lub dofinansowanie zadań zleconych do realizacji organizacjom prowadzącym działalność pożytku publicznego </t>
  </si>
  <si>
    <t>Dotacja celowa z budżetu na finansowanie lub dofinansowanie zadań zleconych do realizacji stowarzyszeniom</t>
  </si>
  <si>
    <t>Pozostałe wydatki bieżące na zadania związane z pomocą obywatelom Ukrainy</t>
  </si>
  <si>
    <t>Świadczenia wychowawcze</t>
  </si>
  <si>
    <t>Zwrot dotacji oraz płatności wykorzystanych niezgodnie z przeznaczeniem lub wykorzystanych z naruszeniem procedur, o których mowa w art. 184 ustawy, pobranych nienależnie lub w nadmiernej wysokości</t>
  </si>
  <si>
    <t>Odsetki od dotacji oraz płatności wykorzystanych niezgodnie z przeznaczeniem lub wykorzystanych z naruszeniem procedur, o których mowa w art. 184 ustawy, pobranych nienależnie lub w nadmiernej wysokości</t>
  </si>
  <si>
    <t>Dotacja celowa otrzymana z tytułu pomocy finansowej udzielanej między jednostkami samorządu terytorialnego na dofinansowanie własnych zadań bieżących</t>
  </si>
  <si>
    <t>Wpływy z otrzymanych spadków, zapisów i darowizn w postaci pieniężnej</t>
  </si>
  <si>
    <t>Program Nr 8*****</t>
  </si>
  <si>
    <t>*****</t>
  </si>
  <si>
    <t xml:space="preserve">Wykonanie zagospodarowania zielenią ul. Miętowej w Plewiskach na odcinku od ul.Lawendowej do ul. Prof.. Wacława Strażewicz wraz z e zwiększeniem retencji wody na terenach zieleni wzdłuż budynków nr 27A i 27B </t>
  </si>
  <si>
    <t>Budowa drogi łączącej ul. Towarową w Komornikach z ul. Szkolną w Plewiskach</t>
  </si>
  <si>
    <t>Wniesienie wkładów do PUK Spółki z o.o.   w Komornikach</t>
  </si>
  <si>
    <t>Budowa kanalizacji sanitarnej w ul. Piastowskiej w Komornikach</t>
  </si>
  <si>
    <t>Przygotowanie dokumentacji projektowej ścieżki rowerowej                 w ul. Polnej w Komornikach i ul. Komornickiej w Głuchowie i jej budowa (droga powiatowa)</t>
  </si>
  <si>
    <t>Koncepcja zmiany organizacji ruchu na os. Zielarskim w Plewiskach</t>
  </si>
  <si>
    <t>Budowa leśnej ścieżki edukacyjnej na terenie WPN w Komornikach</t>
  </si>
  <si>
    <t>2020-2026</t>
  </si>
  <si>
    <t>Przebudowa placu zabaw przy DK Dworek w Głuchowie</t>
  </si>
  <si>
    <t>Budowa monitoringu w miejscach szczególnie narażonych na niebezpieczeństwo spożycia alkoholu przez dzieci i młodzież                      z terenu Gminy Komorniki</t>
  </si>
  <si>
    <t>Wsparcie rozwoju e-usług publicznych w samorządzie lokalnym Metropolii Poznań - Gminie Komorniki</t>
  </si>
  <si>
    <t>Dotacja celowa otrzymana z państwowego funduszu celowego na dofinansowanie kosztów realizacji inwestycyji i zakupów inwestycyjnych jednostek sektora finansów publicznych</t>
  </si>
  <si>
    <t>Modernizacja kompleksu sportowego Moje Boisko Orlik 2012 w Plewiskach</t>
  </si>
  <si>
    <t>Usuwanie skutków klęsk żywiołowych</t>
  </si>
  <si>
    <t>Pomoc finansowa w odbudowie sieci kanalizacyjnej                                i wodociągowej na terenie Gminy Lądka-Zdroju</t>
  </si>
  <si>
    <t>010</t>
  </si>
  <si>
    <t>01078</t>
  </si>
  <si>
    <t>Wydatki programu nr 8 zostały zrealizowane w 2022 roku</t>
  </si>
  <si>
    <t>Dotacja celowa otrzymana z budżetu państwa na zadania bieżące realizowane przez gminę na podstwie porozumień z organami administracji rządowej</t>
  </si>
  <si>
    <t xml:space="preserve">Wsparcie rozwoju e-usług publicznych w samorządzie lokalnym </t>
  </si>
  <si>
    <t>Metropolii Poznań - Gminie Komorniki</t>
  </si>
  <si>
    <t>Budowa ul. Pogodnej w Głuchowie</t>
  </si>
  <si>
    <t>Budowa odcinków chodników przy ul. Stawnej i ul. Poznańskiej                 w Głuchowie</t>
  </si>
  <si>
    <t>Budowa ul. Grabowej i ul. Jaworowej w Wirach</t>
  </si>
  <si>
    <t>Budowa ul. Akacjowej i ul. Brzozowej w Komornikach</t>
  </si>
  <si>
    <t>w tym wydatki zzlecone: 319 591,24</t>
  </si>
  <si>
    <t>w tym zadania zlecone: 578 675,95</t>
  </si>
  <si>
    <t>Zakup nieruchomości zabudowanej przy ul. Jeziornej 1A                               w Komornikach</t>
  </si>
  <si>
    <t>w tym zadania zlecone: 94 301,00</t>
  </si>
  <si>
    <t>w tym zadania zlecone: 2 000,00</t>
  </si>
  <si>
    <t>w tym zadania zlecone: 10 186 560,00</t>
  </si>
  <si>
    <t>w tym zadania zlecone: 241 007,09</t>
  </si>
  <si>
    <t>Budowa ul. Orzechowej, ul. Świerkowej i ul. Kolejowej w Wirach</t>
  </si>
  <si>
    <t>Budowa boiska sportowego przy Szkole Podstawowej w Chomęcicach</t>
  </si>
  <si>
    <t>Budowa ul. Szreniawskiej w Wirach-etap I</t>
  </si>
  <si>
    <t>Dotacja celowa przekazana z budżetu państwa na realizację zadań bieżących gmin z zakresu edukacyjnej opieki wychowawczej finansowanych w całości przez budżet państwa w ramach programów rządowych</t>
  </si>
  <si>
    <t>Środki z Funduszu Pracy otrzymane na realizację zadań wynikających z odrębnych ustaw</t>
  </si>
  <si>
    <t>IV.</t>
  </si>
  <si>
    <t>Plan dotacji na zadania realizowane na podstawie porozumień (umów) z administracją rządową</t>
  </si>
  <si>
    <t>III. Wydatki na realizację zadań, realizowanych na podstawie porozumień (umów) z administracją rządową</t>
  </si>
  <si>
    <t xml:space="preserve">Działania przedinwestycyjne służące rozwojowi </t>
  </si>
  <si>
    <t>"Zachodniopoznańskiego Klastra Energii"</t>
  </si>
  <si>
    <t>Instalacje OZE realizowane przez społeczności energetyczne</t>
  </si>
  <si>
    <t>1. rozwój lokalnych odnawialnych źródeł energii realizowanych przez</t>
  </si>
  <si>
    <t xml:space="preserve">  społeczności energetyczne (w tym m.in. klasrty energii)</t>
  </si>
  <si>
    <t>2. rozwój grupowo działających prosumentów (prosument zbiorowy</t>
  </si>
  <si>
    <t xml:space="preserve">    i wirtualny)</t>
  </si>
  <si>
    <t>Nazwa programu nr 7****</t>
  </si>
  <si>
    <t>Nazwa programu nr 9 *****</t>
  </si>
  <si>
    <t>środki są większe od dochodów o wkład własny, tj. o 39 100,00 zł</t>
  </si>
  <si>
    <t>środki są większe od dochodów o wkład własny, tj. o 4 500,00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</si>
</sst>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_-* #,##0.00&quot; zł&quot;_-;\-* #,##0.00&quot; zł&quot;_-;_-* \-??&quot; zł&quot;_-;_-@_-"/>
    <numFmt numFmtId="167" formatCode="[$-415]General"/>
    <numFmt numFmtId="168" formatCode="[$-415]0%"/>
    <numFmt numFmtId="169" formatCode="#,##0.00&quot; &quot;[$zł-415];[Red]&quot;-&quot;#,##0.00&quot; &quot;[$zł-415]"/>
    <numFmt numFmtId="170" formatCode="000"/>
    <numFmt numFmtId="171" formatCode="00000"/>
    <numFmt numFmtId="172" formatCode="0000"/>
  </numFmts>
  <fonts count="1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name val="Arial CE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name val="Calibri"/>
      <family val="2"/>
      <charset val="238"/>
    </font>
    <font>
      <sz val="14"/>
      <name val="Calibri"/>
      <family val="2"/>
      <charset val="238"/>
    </font>
    <font>
      <b/>
      <i/>
      <sz val="14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3"/>
      <name val="Times New Roman"/>
      <family val="1"/>
      <charset val="238"/>
    </font>
    <font>
      <b/>
      <sz val="11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3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35" fillId="7" borderId="0" applyNumberFormat="0" applyBorder="0" applyAlignment="0" applyProtection="0"/>
    <xf numFmtId="0" fontId="36" fillId="2" borderId="1" applyNumberFormat="0" applyAlignment="0" applyProtection="0"/>
    <xf numFmtId="0" fontId="37" fillId="23" borderId="2" applyNumberFormat="0" applyAlignment="0" applyProtection="0"/>
    <xf numFmtId="0" fontId="5" fillId="8" borderId="1" applyNumberFormat="0" applyAlignment="0" applyProtection="0"/>
    <xf numFmtId="0" fontId="5" fillId="6" borderId="1" applyNumberFormat="0" applyAlignment="0" applyProtection="0"/>
    <xf numFmtId="0" fontId="6" fillId="24" borderId="3" applyNumberFormat="0" applyAlignment="0" applyProtection="0"/>
    <xf numFmtId="0" fontId="6" fillId="25" borderId="3" applyNumberFormat="0" applyAlignment="0" applyProtection="0"/>
    <xf numFmtId="0" fontId="7" fillId="26" borderId="0" applyNumberFormat="0" applyBorder="0" applyAlignment="0" applyProtection="0"/>
    <xf numFmtId="165" fontId="2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26" borderId="0" applyNumberFormat="0" applyBorder="0" applyAlignment="0" applyProtection="0"/>
    <xf numFmtId="0" fontId="21" fillId="0" borderId="0">
      <alignment horizontal="center"/>
    </xf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21" fillId="0" borderId="0">
      <alignment horizontal="center" textRotation="90"/>
    </xf>
    <xf numFmtId="0" fontId="49" fillId="0" borderId="0" applyNumberFormat="0" applyFill="0" applyBorder="0" applyAlignment="0" applyProtection="0"/>
    <xf numFmtId="0" fontId="43" fillId="6" borderId="1" applyNumberFormat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9" fillId="27" borderId="2" applyNumberFormat="0" applyAlignment="0" applyProtection="0"/>
    <xf numFmtId="0" fontId="9" fillId="23" borderId="2" applyNumberFormat="0" applyAlignment="0" applyProtection="0"/>
    <xf numFmtId="0" fontId="44" fillId="0" borderId="7" applyNumberFormat="0" applyFill="0" applyAlignment="0" applyProtection="0"/>
    <xf numFmtId="0" fontId="10" fillId="0" borderId="8" applyNumberFormat="0" applyFill="0" applyAlignment="0" applyProtection="0"/>
    <xf numFmtId="0" fontId="29" fillId="0" borderId="4" applyNumberFormat="0" applyFill="0" applyAlignment="0" applyProtection="0"/>
    <xf numFmtId="0" fontId="11" fillId="0" borderId="5" applyNumberFormat="0" applyFill="0" applyAlignment="0" applyProtection="0"/>
    <xf numFmtId="0" fontId="30" fillId="0" borderId="5" applyNumberFormat="0" applyFill="0" applyAlignment="0" applyProtection="0"/>
    <xf numFmtId="0" fontId="12" fillId="0" borderId="9" applyNumberFormat="0" applyFill="0" applyAlignment="0" applyProtection="0"/>
    <xf numFmtId="0" fontId="3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13" fillId="10" borderId="0" applyNumberFormat="0" applyBorder="0" applyAlignment="0" applyProtection="0"/>
    <xf numFmtId="167" fontId="22" fillId="0" borderId="0">
      <alignment vertical="top"/>
    </xf>
    <xf numFmtId="0" fontId="28" fillId="0" borderId="0"/>
    <xf numFmtId="0" fontId="23" fillId="0" borderId="0"/>
    <xf numFmtId="0" fontId="3" fillId="0" borderId="0"/>
    <xf numFmtId="0" fontId="24" fillId="0" borderId="0"/>
    <xf numFmtId="0" fontId="20" fillId="0" borderId="0"/>
    <xf numFmtId="0" fontId="22" fillId="0" borderId="0"/>
    <xf numFmtId="167" fontId="24" fillId="0" borderId="0"/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8" fillId="4" borderId="10" applyNumberFormat="0" applyFont="0" applyAlignment="0" applyProtection="0"/>
    <xf numFmtId="0" fontId="14" fillId="24" borderId="1" applyNumberFormat="0" applyAlignment="0" applyProtection="0"/>
    <xf numFmtId="0" fontId="14" fillId="25" borderId="1" applyNumberFormat="0" applyAlignment="0" applyProtection="0"/>
    <xf numFmtId="0" fontId="46" fillId="2" borderId="3" applyNumberFormat="0" applyAlignment="0" applyProtection="0"/>
    <xf numFmtId="9" fontId="2" fillId="0" borderId="0" applyFill="0" applyBorder="0" applyAlignment="0" applyProtection="0"/>
    <xf numFmtId="168" fontId="23" fillId="0" borderId="0"/>
    <xf numFmtId="9" fontId="20" fillId="0" borderId="0" applyFont="0" applyFill="0" applyBorder="0" applyAlignment="0" applyProtection="0"/>
    <xf numFmtId="168" fontId="26" fillId="0" borderId="0"/>
    <xf numFmtId="9" fontId="2" fillId="0" borderId="0" applyFill="0" applyBorder="0" applyAlignment="0" applyProtection="0"/>
    <xf numFmtId="9" fontId="25" fillId="0" borderId="0"/>
    <xf numFmtId="9" fontId="1" fillId="0" borderId="0" applyFont="0" applyFill="0" applyBorder="0" applyAlignment="0" applyProtection="0"/>
    <xf numFmtId="0" fontId="27" fillId="0" borderId="0"/>
    <xf numFmtId="169" fontId="27" fillId="0" borderId="0"/>
    <xf numFmtId="0" fontId="15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28" borderId="10" applyNumberFormat="0" applyAlignment="0" applyProtection="0"/>
    <xf numFmtId="0" fontId="28" fillId="4" borderId="10" applyNumberFormat="0" applyFont="0" applyAlignment="0" applyProtection="0"/>
    <xf numFmtId="166" fontId="20" fillId="0" borderId="0" applyFill="0" applyBorder="0" applyAlignment="0" applyProtection="0"/>
    <xf numFmtId="164" fontId="2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9" fillId="29" borderId="0" applyNumberFormat="0" applyBorder="0" applyAlignment="0" applyProtection="0"/>
    <xf numFmtId="165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50" fillId="0" borderId="0"/>
  </cellStyleXfs>
  <cellXfs count="564">
    <xf numFmtId="0" fontId="0" fillId="0" borderId="0" xfId="0"/>
    <xf numFmtId="0" fontId="51" fillId="0" borderId="0" xfId="0" applyFont="1"/>
    <xf numFmtId="0" fontId="55" fillId="0" borderId="17" xfId="1" applyFont="1" applyBorder="1" applyAlignment="1">
      <alignment horizontal="center" vertical="center" textRotation="90" wrapText="1"/>
    </xf>
    <xf numFmtId="0" fontId="55" fillId="0" borderId="16" xfId="1" applyFont="1" applyBorder="1" applyAlignment="1">
      <alignment horizontal="center" vertical="center" textRotation="90" wrapText="1"/>
    </xf>
    <xf numFmtId="0" fontId="55" fillId="0" borderId="16" xfId="1" applyFont="1" applyBorder="1" applyAlignment="1">
      <alignment horizontal="center" vertical="center" wrapText="1"/>
    </xf>
    <xf numFmtId="0" fontId="56" fillId="0" borderId="14" xfId="1" applyFont="1" applyBorder="1" applyAlignment="1">
      <alignment horizontal="center" vertical="center" wrapText="1"/>
    </xf>
    <xf numFmtId="0" fontId="56" fillId="0" borderId="15" xfId="1" applyFont="1" applyBorder="1" applyAlignment="1">
      <alignment horizontal="center" vertical="center" wrapText="1"/>
    </xf>
    <xf numFmtId="0" fontId="56" fillId="0" borderId="17" xfId="1" applyFont="1" applyBorder="1" applyAlignment="1">
      <alignment horizontal="center" vertical="center" wrapText="1"/>
    </xf>
    <xf numFmtId="0" fontId="56" fillId="0" borderId="16" xfId="1" applyFont="1" applyBorder="1" applyAlignment="1">
      <alignment horizontal="center" vertical="center" wrapText="1"/>
    </xf>
    <xf numFmtId="170" fontId="58" fillId="0" borderId="18" xfId="0" applyNumberFormat="1" applyFont="1" applyBorder="1" applyAlignment="1">
      <alignment horizontal="center" vertical="center"/>
    </xf>
    <xf numFmtId="171" fontId="58" fillId="0" borderId="13" xfId="0" applyNumberFormat="1" applyFont="1" applyBorder="1" applyAlignment="1">
      <alignment horizontal="center" vertical="center"/>
    </xf>
    <xf numFmtId="172" fontId="58" fillId="0" borderId="13" xfId="0" applyNumberFormat="1" applyFont="1" applyBorder="1" applyAlignment="1">
      <alignment horizontal="center" vertical="center"/>
    </xf>
    <xf numFmtId="0" fontId="58" fillId="0" borderId="13" xfId="0" applyFont="1" applyBorder="1" applyAlignment="1">
      <alignment horizontal="left" vertical="center" wrapText="1"/>
    </xf>
    <xf numFmtId="4" fontId="58" fillId="0" borderId="13" xfId="0" applyNumberFormat="1" applyFont="1" applyBorder="1" applyAlignment="1">
      <alignment horizontal="right" vertical="center"/>
    </xf>
    <xf numFmtId="0" fontId="59" fillId="0" borderId="0" xfId="0" applyFont="1" applyAlignment="1">
      <alignment vertical="center"/>
    </xf>
    <xf numFmtId="0" fontId="1" fillId="0" borderId="0" xfId="0" applyFont="1"/>
    <xf numFmtId="0" fontId="60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61" fillId="0" borderId="0" xfId="0" applyFont="1" applyAlignment="1">
      <alignment horizontal="centerContinuous"/>
    </xf>
    <xf numFmtId="0" fontId="61" fillId="0" borderId="0" xfId="0" applyFont="1"/>
    <xf numFmtId="0" fontId="62" fillId="0" borderId="0" xfId="0" applyFont="1" applyAlignment="1">
      <alignment horizontal="center"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" fontId="0" fillId="0" borderId="0" xfId="0" applyNumberFormat="1"/>
    <xf numFmtId="0" fontId="57" fillId="0" borderId="31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4" fontId="57" fillId="0" borderId="32" xfId="0" applyNumberFormat="1" applyFont="1" applyBorder="1" applyAlignment="1">
      <alignment horizontal="right" vertical="center" wrapText="1"/>
    </xf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66" fillId="0" borderId="0" xfId="0" applyFont="1" applyAlignment="1">
      <alignment horizontal="right"/>
    </xf>
    <xf numFmtId="0" fontId="66" fillId="0" borderId="17" xfId="1" applyFont="1" applyBorder="1" applyAlignment="1">
      <alignment horizontal="center" vertical="center" textRotation="90" wrapText="1"/>
    </xf>
    <xf numFmtId="0" fontId="66" fillId="0" borderId="16" xfId="1" applyFont="1" applyBorder="1" applyAlignment="1">
      <alignment horizontal="center" vertical="center" textRotation="90" wrapText="1"/>
    </xf>
    <xf numFmtId="0" fontId="66" fillId="0" borderId="16" xfId="1" applyFont="1" applyBorder="1" applyAlignment="1">
      <alignment horizontal="center" vertical="center" wrapText="1"/>
    </xf>
    <xf numFmtId="0" fontId="69" fillId="0" borderId="14" xfId="1" applyFont="1" applyBorder="1" applyAlignment="1">
      <alignment horizontal="center" vertical="center" wrapText="1"/>
    </xf>
    <xf numFmtId="0" fontId="69" fillId="0" borderId="15" xfId="1" applyFont="1" applyBorder="1" applyAlignment="1">
      <alignment horizontal="center" vertical="center" wrapText="1"/>
    </xf>
    <xf numFmtId="170" fontId="70" fillId="0" borderId="17" xfId="0" applyNumberFormat="1" applyFont="1" applyBorder="1" applyAlignment="1">
      <alignment horizontal="center" vertical="center"/>
    </xf>
    <xf numFmtId="171" fontId="70" fillId="0" borderId="16" xfId="0" applyNumberFormat="1" applyFont="1" applyBorder="1" applyAlignment="1">
      <alignment horizontal="center" vertical="center"/>
    </xf>
    <xf numFmtId="172" fontId="70" fillId="0" borderId="16" xfId="0" applyNumberFormat="1" applyFont="1" applyBorder="1" applyAlignment="1">
      <alignment horizontal="center" vertical="center"/>
    </xf>
    <xf numFmtId="0" fontId="70" fillId="0" borderId="16" xfId="0" applyFont="1" applyBorder="1" applyAlignment="1">
      <alignment horizontal="left" vertical="center" wrapText="1"/>
    </xf>
    <xf numFmtId="4" fontId="70" fillId="0" borderId="19" xfId="0" applyNumberFormat="1" applyFont="1" applyBorder="1" applyAlignment="1">
      <alignment horizontal="right" vertical="center"/>
    </xf>
    <xf numFmtId="170" fontId="70" fillId="0" borderId="18" xfId="0" applyNumberFormat="1" applyFont="1" applyBorder="1" applyAlignment="1">
      <alignment horizontal="center" vertical="center"/>
    </xf>
    <xf numFmtId="171" fontId="70" fillId="0" borderId="13" xfId="0" applyNumberFormat="1" applyFont="1" applyBorder="1" applyAlignment="1">
      <alignment horizontal="center" vertical="center"/>
    </xf>
    <xf numFmtId="172" fontId="70" fillId="0" borderId="13" xfId="0" applyNumberFormat="1" applyFont="1" applyBorder="1" applyAlignment="1">
      <alignment horizontal="center" vertical="center"/>
    </xf>
    <xf numFmtId="0" fontId="70" fillId="0" borderId="13" xfId="0" applyFont="1" applyBorder="1" applyAlignment="1">
      <alignment horizontal="left" vertical="center" wrapText="1"/>
    </xf>
    <xf numFmtId="4" fontId="70" fillId="0" borderId="20" xfId="0" applyNumberFormat="1" applyFont="1" applyBorder="1" applyAlignment="1">
      <alignment horizontal="right" vertical="center"/>
    </xf>
    <xf numFmtId="170" fontId="70" fillId="0" borderId="14" xfId="0" applyNumberFormat="1" applyFont="1" applyBorder="1" applyAlignment="1">
      <alignment horizontal="center" vertical="center"/>
    </xf>
    <xf numFmtId="171" fontId="70" fillId="0" borderId="21" xfId="0" applyNumberFormat="1" applyFont="1" applyBorder="1" applyAlignment="1">
      <alignment horizontal="center" vertical="center"/>
    </xf>
    <xf numFmtId="172" fontId="70" fillId="0" borderId="21" xfId="0" applyNumberFormat="1" applyFont="1" applyBorder="1" applyAlignment="1">
      <alignment horizontal="center" vertical="center"/>
    </xf>
    <xf numFmtId="0" fontId="64" fillId="0" borderId="21" xfId="0" applyFont="1" applyBorder="1" applyAlignment="1">
      <alignment horizontal="left" vertical="center" wrapText="1"/>
    </xf>
    <xf numFmtId="4" fontId="64" fillId="0" borderId="22" xfId="0" applyNumberFormat="1" applyFont="1" applyBorder="1" applyAlignment="1">
      <alignment horizontal="right" vertical="center"/>
    </xf>
    <xf numFmtId="0" fontId="70" fillId="0" borderId="21" xfId="0" applyFont="1" applyBorder="1" applyAlignment="1">
      <alignment horizontal="left" vertical="center" wrapText="1"/>
    </xf>
    <xf numFmtId="4" fontId="70" fillId="0" borderId="22" xfId="0" applyNumberFormat="1" applyFont="1" applyBorder="1" applyAlignment="1">
      <alignment horizontal="right" vertical="center"/>
    </xf>
    <xf numFmtId="171" fontId="70" fillId="0" borderId="23" xfId="0" applyNumberFormat="1" applyFont="1" applyBorder="1" applyAlignment="1">
      <alignment horizontal="center" vertical="center"/>
    </xf>
    <xf numFmtId="172" fontId="70" fillId="0" borderId="23" xfId="0" applyNumberFormat="1" applyFont="1" applyBorder="1" applyAlignment="1">
      <alignment horizontal="center" vertical="center"/>
    </xf>
    <xf numFmtId="0" fontId="70" fillId="0" borderId="23" xfId="0" applyFont="1" applyBorder="1" applyAlignment="1">
      <alignment horizontal="left" vertical="top" wrapText="1"/>
    </xf>
    <xf numFmtId="4" fontId="70" fillId="0" borderId="24" xfId="0" applyNumberFormat="1" applyFont="1" applyBorder="1" applyAlignment="1">
      <alignment horizontal="right" vertical="center"/>
    </xf>
    <xf numFmtId="0" fontId="69" fillId="0" borderId="17" xfId="1" applyFont="1" applyBorder="1" applyAlignment="1">
      <alignment horizontal="center" vertical="center" wrapText="1"/>
    </xf>
    <xf numFmtId="0" fontId="69" fillId="0" borderId="16" xfId="1" applyFont="1" applyBorder="1" applyAlignment="1">
      <alignment horizontal="center" vertical="center" wrapText="1"/>
    </xf>
    <xf numFmtId="170" fontId="72" fillId="0" borderId="18" xfId="0" applyNumberFormat="1" applyFont="1" applyBorder="1" applyAlignment="1">
      <alignment horizontal="center" vertical="center"/>
    </xf>
    <xf numFmtId="171" fontId="72" fillId="0" borderId="13" xfId="0" applyNumberFormat="1" applyFont="1" applyBorder="1" applyAlignment="1">
      <alignment horizontal="center" vertical="center"/>
    </xf>
    <xf numFmtId="172" fontId="72" fillId="0" borderId="13" xfId="0" applyNumberFormat="1" applyFont="1" applyBorder="1" applyAlignment="1">
      <alignment horizontal="center" vertical="center"/>
    </xf>
    <xf numFmtId="4" fontId="72" fillId="0" borderId="13" xfId="0" applyNumberFormat="1" applyFont="1" applyBorder="1" applyAlignment="1">
      <alignment horizontal="right" vertical="center"/>
    </xf>
    <xf numFmtId="2" fontId="0" fillId="0" borderId="0" xfId="0" applyNumberFormat="1"/>
    <xf numFmtId="0" fontId="53" fillId="0" borderId="0" xfId="0" applyFont="1"/>
    <xf numFmtId="170" fontId="57" fillId="0" borderId="18" xfId="0" applyNumberFormat="1" applyFont="1" applyBorder="1" applyAlignment="1">
      <alignment horizontal="center" vertical="center"/>
    </xf>
    <xf numFmtId="171" fontId="57" fillId="0" borderId="13" xfId="0" applyNumberFormat="1" applyFont="1" applyBorder="1" applyAlignment="1">
      <alignment horizontal="center" vertical="center"/>
    </xf>
    <xf numFmtId="172" fontId="57" fillId="0" borderId="13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horizontal="left" vertical="center" wrapText="1"/>
    </xf>
    <xf numFmtId="4" fontId="57" fillId="0" borderId="13" xfId="0" applyNumberFormat="1" applyFont="1" applyBorder="1" applyAlignment="1">
      <alignment horizontal="right" vertical="center"/>
    </xf>
    <xf numFmtId="4" fontId="70" fillId="0" borderId="13" xfId="0" applyNumberFormat="1" applyFont="1" applyBorder="1" applyAlignment="1">
      <alignment horizontal="right" vertical="center"/>
    </xf>
    <xf numFmtId="170" fontId="64" fillId="0" borderId="18" xfId="0" applyNumberFormat="1" applyFont="1" applyBorder="1" applyAlignment="1">
      <alignment horizontal="center" vertical="center"/>
    </xf>
    <xf numFmtId="171" fontId="64" fillId="0" borderId="13" xfId="0" applyNumberFormat="1" applyFont="1" applyBorder="1" applyAlignment="1">
      <alignment horizontal="center" vertical="center"/>
    </xf>
    <xf numFmtId="172" fontId="64" fillId="0" borderId="13" xfId="0" applyNumberFormat="1" applyFont="1" applyBorder="1" applyAlignment="1">
      <alignment horizontal="center" vertical="center"/>
    </xf>
    <xf numFmtId="0" fontId="64" fillId="0" borderId="13" xfId="0" applyFont="1" applyBorder="1" applyAlignment="1">
      <alignment horizontal="left" vertical="center" wrapText="1"/>
    </xf>
    <xf numFmtId="4" fontId="64" fillId="0" borderId="13" xfId="0" applyNumberFormat="1" applyFont="1" applyBorder="1" applyAlignment="1">
      <alignment horizontal="right" vertical="center"/>
    </xf>
    <xf numFmtId="0" fontId="73" fillId="0" borderId="0" xfId="0" applyFont="1" applyAlignment="1">
      <alignment horizontal="justify" vertical="center"/>
    </xf>
    <xf numFmtId="170" fontId="81" fillId="0" borderId="18" xfId="0" applyNumberFormat="1" applyFont="1" applyBorder="1" applyAlignment="1">
      <alignment horizontal="center" vertical="center"/>
    </xf>
    <xf numFmtId="171" fontId="81" fillId="0" borderId="13" xfId="0" applyNumberFormat="1" applyFont="1" applyBorder="1" applyAlignment="1">
      <alignment horizontal="center" vertical="center"/>
    </xf>
    <xf numFmtId="172" fontId="81" fillId="0" borderId="13" xfId="0" applyNumberFormat="1" applyFont="1" applyBorder="1" applyAlignment="1">
      <alignment horizontal="center" vertical="center"/>
    </xf>
    <xf numFmtId="0" fontId="80" fillId="0" borderId="0" xfId="0" applyFont="1"/>
    <xf numFmtId="172" fontId="57" fillId="30" borderId="13" xfId="0" applyNumberFormat="1" applyFont="1" applyFill="1" applyBorder="1" applyAlignment="1">
      <alignment horizontal="center" vertical="center"/>
    </xf>
    <xf numFmtId="0" fontId="57" fillId="30" borderId="13" xfId="0" applyFont="1" applyFill="1" applyBorder="1" applyAlignment="1">
      <alignment horizontal="left" vertical="center" wrapText="1"/>
    </xf>
    <xf numFmtId="4" fontId="57" fillId="30" borderId="13" xfId="0" applyNumberFormat="1" applyFont="1" applyFill="1" applyBorder="1" applyAlignment="1">
      <alignment horizontal="right" vertical="center"/>
    </xf>
    <xf numFmtId="172" fontId="58" fillId="30" borderId="13" xfId="0" applyNumberFormat="1" applyFont="1" applyFill="1" applyBorder="1" applyAlignment="1">
      <alignment horizontal="center" vertical="center"/>
    </xf>
    <xf numFmtId="0" fontId="58" fillId="30" borderId="13" xfId="0" applyFont="1" applyFill="1" applyBorder="1" applyAlignment="1">
      <alignment horizontal="left" vertical="center" wrapText="1"/>
    </xf>
    <xf numFmtId="4" fontId="58" fillId="30" borderId="13" xfId="0" applyNumberFormat="1" applyFont="1" applyFill="1" applyBorder="1" applyAlignment="1">
      <alignment horizontal="right" vertical="center"/>
    </xf>
    <xf numFmtId="0" fontId="58" fillId="0" borderId="13" xfId="0" applyFont="1" applyBorder="1" applyAlignment="1">
      <alignment horizontal="left" vertical="top" wrapText="1"/>
    </xf>
    <xf numFmtId="0" fontId="55" fillId="0" borderId="0" xfId="0" applyFont="1" applyAlignment="1">
      <alignment horizontal="right" vertical="center"/>
    </xf>
    <xf numFmtId="0" fontId="81" fillId="0" borderId="13" xfId="0" applyFont="1" applyBorder="1" applyAlignment="1">
      <alignment horizontal="left" vertical="center" wrapText="1"/>
    </xf>
    <xf numFmtId="4" fontId="81" fillId="0" borderId="13" xfId="0" applyNumberFormat="1" applyFont="1" applyBorder="1" applyAlignment="1">
      <alignment horizontal="right" vertical="center"/>
    </xf>
    <xf numFmtId="170" fontId="58" fillId="0" borderId="17" xfId="0" applyNumberFormat="1" applyFont="1" applyBorder="1" applyAlignment="1">
      <alignment horizontal="center" vertical="center"/>
    </xf>
    <xf numFmtId="171" fontId="58" fillId="0" borderId="16" xfId="0" applyNumberFormat="1" applyFont="1" applyBorder="1" applyAlignment="1">
      <alignment horizontal="center" vertical="center"/>
    </xf>
    <xf numFmtId="172" fontId="58" fillId="0" borderId="16" xfId="0" applyNumberFormat="1" applyFont="1" applyBorder="1" applyAlignment="1">
      <alignment horizontal="center" vertical="center"/>
    </xf>
    <xf numFmtId="0" fontId="58" fillId="0" borderId="16" xfId="0" applyFont="1" applyBorder="1" applyAlignment="1">
      <alignment horizontal="left" vertical="center" wrapText="1"/>
    </xf>
    <xf numFmtId="4" fontId="58" fillId="0" borderId="16" xfId="0" applyNumberFormat="1" applyFont="1" applyBorder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80" fillId="0" borderId="0" xfId="0" applyFont="1" applyAlignment="1">
      <alignment horizontal="left"/>
    </xf>
    <xf numFmtId="0" fontId="52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172" fontId="58" fillId="0" borderId="36" xfId="0" applyNumberFormat="1" applyFont="1" applyBorder="1" applyAlignment="1">
      <alignment horizontal="center" vertical="center"/>
    </xf>
    <xf numFmtId="171" fontId="79" fillId="0" borderId="13" xfId="0" applyNumberFormat="1" applyFont="1" applyBorder="1" applyAlignment="1">
      <alignment horizontal="center" vertical="center"/>
    </xf>
    <xf numFmtId="172" fontId="79" fillId="0" borderId="13" xfId="0" applyNumberFormat="1" applyFont="1" applyBorder="1" applyAlignment="1">
      <alignment horizontal="center" vertical="center"/>
    </xf>
    <xf numFmtId="0" fontId="79" fillId="0" borderId="13" xfId="0" applyFont="1" applyBorder="1" applyAlignment="1">
      <alignment horizontal="left" vertical="center" wrapText="1"/>
    </xf>
    <xf numFmtId="0" fontId="79" fillId="0" borderId="35" xfId="0" applyFont="1" applyBorder="1" applyAlignment="1">
      <alignment horizontal="left" vertical="center" wrapText="1"/>
    </xf>
    <xf numFmtId="0" fontId="79" fillId="0" borderId="42" xfId="0" applyFont="1" applyBorder="1" applyAlignment="1">
      <alignment horizontal="left" vertical="center" wrapText="1"/>
    </xf>
    <xf numFmtId="172" fontId="79" fillId="0" borderId="36" xfId="0" applyNumberFormat="1" applyFont="1" applyBorder="1" applyAlignment="1">
      <alignment horizontal="center" vertical="center"/>
    </xf>
    <xf numFmtId="4" fontId="79" fillId="0" borderId="13" xfId="0" applyNumberFormat="1" applyFont="1" applyBorder="1" applyAlignment="1">
      <alignment horizontal="right" vertical="center"/>
    </xf>
    <xf numFmtId="0" fontId="79" fillId="0" borderId="23" xfId="0" applyFont="1" applyBorder="1" applyAlignment="1">
      <alignment horizontal="left" vertical="center" wrapText="1"/>
    </xf>
    <xf numFmtId="4" fontId="79" fillId="0" borderId="41" xfId="0" applyNumberFormat="1" applyFont="1" applyBorder="1" applyAlignment="1">
      <alignment horizontal="right" vertical="center"/>
    </xf>
    <xf numFmtId="0" fontId="79" fillId="0" borderId="37" xfId="0" applyFont="1" applyBorder="1" applyAlignment="1">
      <alignment horizontal="left" vertical="center" wrapText="1"/>
    </xf>
    <xf numFmtId="0" fontId="79" fillId="0" borderId="39" xfId="0" applyFont="1" applyBorder="1" applyAlignment="1">
      <alignment horizontal="left" vertical="center" wrapText="1"/>
    </xf>
    <xf numFmtId="0" fontId="79" fillId="0" borderId="38" xfId="0" applyFont="1" applyBorder="1" applyAlignment="1">
      <alignment horizontal="left" vertical="center" wrapText="1"/>
    </xf>
    <xf numFmtId="4" fontId="79" fillId="0" borderId="39" xfId="0" applyNumberFormat="1" applyFont="1" applyBorder="1" applyAlignment="1">
      <alignment horizontal="right" vertical="center"/>
    </xf>
    <xf numFmtId="171" fontId="58" fillId="0" borderId="23" xfId="0" applyNumberFormat="1" applyFont="1" applyBorder="1" applyAlignment="1">
      <alignment horizontal="center" vertical="center"/>
    </xf>
    <xf numFmtId="172" fontId="58" fillId="0" borderId="23" xfId="0" applyNumberFormat="1" applyFont="1" applyBorder="1" applyAlignment="1">
      <alignment horizontal="center" vertical="center"/>
    </xf>
    <xf numFmtId="172" fontId="58" fillId="0" borderId="40" xfId="0" applyNumberFormat="1" applyFont="1" applyBorder="1" applyAlignment="1">
      <alignment horizontal="center" vertical="center"/>
    </xf>
    <xf numFmtId="0" fontId="79" fillId="0" borderId="39" xfId="0" applyFont="1" applyBorder="1" applyAlignment="1">
      <alignment horizontal="center" vertical="center"/>
    </xf>
    <xf numFmtId="3" fontId="79" fillId="0" borderId="39" xfId="0" applyNumberFormat="1" applyFont="1" applyBorder="1" applyAlignment="1">
      <alignment horizontal="center" vertical="center"/>
    </xf>
    <xf numFmtId="0" fontId="79" fillId="0" borderId="41" xfId="0" applyFont="1" applyBorder="1" applyAlignment="1">
      <alignment horizontal="center" vertical="center"/>
    </xf>
    <xf numFmtId="3" fontId="79" fillId="0" borderId="41" xfId="0" applyNumberFormat="1" applyFont="1" applyBorder="1" applyAlignment="1">
      <alignment horizontal="center" vertical="center"/>
    </xf>
    <xf numFmtId="172" fontId="79" fillId="30" borderId="13" xfId="0" applyNumberFormat="1" applyFont="1" applyFill="1" applyBorder="1" applyAlignment="1">
      <alignment horizontal="center" vertical="center"/>
    </xf>
    <xf numFmtId="0" fontId="79" fillId="30" borderId="13" xfId="0" applyFont="1" applyFill="1" applyBorder="1" applyAlignment="1">
      <alignment horizontal="left" vertical="center" wrapText="1"/>
    </xf>
    <xf numFmtId="0" fontId="79" fillId="0" borderId="37" xfId="0" applyFont="1" applyBorder="1" applyAlignment="1">
      <alignment horizontal="center" vertical="center" wrapText="1"/>
    </xf>
    <xf numFmtId="0" fontId="79" fillId="0" borderId="41" xfId="0" applyFont="1" applyBorder="1" applyAlignment="1">
      <alignment horizontal="center" vertical="center" wrapText="1"/>
    </xf>
    <xf numFmtId="0" fontId="79" fillId="0" borderId="39" xfId="0" applyFont="1" applyBorder="1" applyAlignment="1">
      <alignment horizontal="center" vertical="center" wrapText="1"/>
    </xf>
    <xf numFmtId="0" fontId="79" fillId="0" borderId="23" xfId="0" applyFont="1" applyBorder="1" applyAlignment="1">
      <alignment horizontal="center" vertical="center" wrapText="1"/>
    </xf>
    <xf numFmtId="3" fontId="79" fillId="0" borderId="41" xfId="0" applyNumberFormat="1" applyFont="1" applyBorder="1" applyAlignment="1">
      <alignment horizontal="center" vertical="center" wrapText="1"/>
    </xf>
    <xf numFmtId="3" fontId="79" fillId="0" borderId="39" xfId="0" applyNumberFormat="1" applyFont="1" applyBorder="1" applyAlignment="1">
      <alignment horizontal="center" vertical="center" wrapText="1"/>
    </xf>
    <xf numFmtId="0" fontId="79" fillId="0" borderId="38" xfId="0" applyFont="1" applyBorder="1" applyAlignment="1">
      <alignment horizontal="center" vertical="center" wrapText="1"/>
    </xf>
    <xf numFmtId="3" fontId="79" fillId="0" borderId="38" xfId="0" applyNumberFormat="1" applyFont="1" applyBorder="1" applyAlignment="1">
      <alignment horizontal="center" vertical="center" wrapText="1"/>
    </xf>
    <xf numFmtId="3" fontId="79" fillId="0" borderId="23" xfId="0" applyNumberFormat="1" applyFont="1" applyBorder="1" applyAlignment="1">
      <alignment horizontal="center" vertical="center" wrapText="1"/>
    </xf>
    <xf numFmtId="3" fontId="79" fillId="0" borderId="35" xfId="0" applyNumberFormat="1" applyFont="1" applyBorder="1" applyAlignment="1">
      <alignment horizontal="center" vertical="center" wrapText="1"/>
    </xf>
    <xf numFmtId="3" fontId="79" fillId="0" borderId="23" xfId="0" applyNumberFormat="1" applyFont="1" applyBorder="1" applyAlignment="1">
      <alignment horizontal="center" vertical="center"/>
    </xf>
    <xf numFmtId="3" fontId="79" fillId="0" borderId="42" xfId="0" applyNumberFormat="1" applyFont="1" applyBorder="1" applyAlignment="1">
      <alignment horizontal="center" vertical="center"/>
    </xf>
    <xf numFmtId="3" fontId="79" fillId="0" borderId="42" xfId="0" applyNumberFormat="1" applyFont="1" applyBorder="1" applyAlignment="1">
      <alignment horizontal="center" vertical="center" wrapText="1"/>
    </xf>
    <xf numFmtId="3" fontId="79" fillId="0" borderId="13" xfId="0" applyNumberFormat="1" applyFont="1" applyBorder="1" applyAlignment="1">
      <alignment horizontal="center" vertical="center" wrapText="1"/>
    </xf>
    <xf numFmtId="0" fontId="79" fillId="0" borderId="41" xfId="0" applyFont="1" applyBorder="1" applyAlignment="1">
      <alignment horizontal="left" vertical="center" wrapText="1"/>
    </xf>
    <xf numFmtId="0" fontId="79" fillId="0" borderId="37" xfId="0" applyFont="1" applyBorder="1" applyAlignment="1">
      <alignment horizontal="center" vertical="center"/>
    </xf>
    <xf numFmtId="3" fontId="79" fillId="0" borderId="37" xfId="0" applyNumberFormat="1" applyFont="1" applyBorder="1" applyAlignment="1">
      <alignment horizontal="center" vertical="center"/>
    </xf>
    <xf numFmtId="0" fontId="79" fillId="0" borderId="41" xfId="0" applyFont="1" applyBorder="1" applyAlignment="1">
      <alignment horizontal="left" vertical="top" wrapText="1"/>
    </xf>
    <xf numFmtId="0" fontId="79" fillId="30" borderId="41" xfId="0" applyFont="1" applyFill="1" applyBorder="1" applyAlignment="1">
      <alignment horizontal="center" vertical="center" wrapText="1"/>
    </xf>
    <xf numFmtId="3" fontId="79" fillId="30" borderId="41" xfId="0" applyNumberFormat="1" applyFont="1" applyFill="1" applyBorder="1" applyAlignment="1">
      <alignment horizontal="center" vertical="center"/>
    </xf>
    <xf numFmtId="0" fontId="79" fillId="30" borderId="41" xfId="0" applyFont="1" applyFill="1" applyBorder="1" applyAlignment="1">
      <alignment horizontal="center" vertical="center"/>
    </xf>
    <xf numFmtId="0" fontId="79" fillId="30" borderId="39" xfId="0" applyFont="1" applyFill="1" applyBorder="1" applyAlignment="1">
      <alignment horizontal="center" vertical="center" wrapText="1"/>
    </xf>
    <xf numFmtId="3" fontId="79" fillId="30" borderId="13" xfId="0" applyNumberFormat="1" applyFont="1" applyFill="1" applyBorder="1" applyAlignment="1">
      <alignment horizontal="center" vertical="center" wrapText="1"/>
    </xf>
    <xf numFmtId="0" fontId="79" fillId="30" borderId="37" xfId="0" applyFont="1" applyFill="1" applyBorder="1" applyAlignment="1">
      <alignment horizontal="center" vertical="center" wrapText="1"/>
    </xf>
    <xf numFmtId="3" fontId="79" fillId="30" borderId="42" xfId="0" applyNumberFormat="1" applyFont="1" applyFill="1" applyBorder="1" applyAlignment="1">
      <alignment horizontal="center" vertical="center" wrapText="1"/>
    </xf>
    <xf numFmtId="0" fontId="79" fillId="30" borderId="23" xfId="0" applyFont="1" applyFill="1" applyBorder="1" applyAlignment="1">
      <alignment horizontal="left" vertical="center" wrapText="1"/>
    </xf>
    <xf numFmtId="3" fontId="79" fillId="30" borderId="23" xfId="0" applyNumberFormat="1" applyFont="1" applyFill="1" applyBorder="1" applyAlignment="1">
      <alignment horizontal="center" vertical="center" wrapText="1"/>
    </xf>
    <xf numFmtId="3" fontId="79" fillId="30" borderId="39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172" fontId="79" fillId="0" borderId="23" xfId="0" applyNumberFormat="1" applyFont="1" applyBorder="1" applyAlignment="1">
      <alignment horizontal="center" vertical="center"/>
    </xf>
    <xf numFmtId="0" fontId="58" fillId="0" borderId="23" xfId="0" applyFont="1" applyBorder="1" applyAlignment="1">
      <alignment horizontal="left" vertical="center" wrapText="1"/>
    </xf>
    <xf numFmtId="4" fontId="58" fillId="0" borderId="23" xfId="0" applyNumberFormat="1" applyFont="1" applyBorder="1" applyAlignment="1">
      <alignment horizontal="right" vertical="center"/>
    </xf>
    <xf numFmtId="0" fontId="92" fillId="0" borderId="0" xfId="0" applyFont="1"/>
    <xf numFmtId="0" fontId="79" fillId="30" borderId="23" xfId="0" applyFont="1" applyFill="1" applyBorder="1" applyAlignment="1">
      <alignment horizontal="center" vertical="center" wrapText="1"/>
    </xf>
    <xf numFmtId="0" fontId="79" fillId="30" borderId="13" xfId="0" applyFont="1" applyFill="1" applyBorder="1" applyAlignment="1">
      <alignment horizontal="center" vertical="center"/>
    </xf>
    <xf numFmtId="0" fontId="79" fillId="30" borderId="39" xfId="0" applyFont="1" applyFill="1" applyBorder="1" applyAlignment="1">
      <alignment horizontal="center" vertical="center"/>
    </xf>
    <xf numFmtId="170" fontId="79" fillId="0" borderId="18" xfId="0" applyNumberFormat="1" applyFont="1" applyBorder="1" applyAlignment="1">
      <alignment horizontal="center" vertical="center"/>
    </xf>
    <xf numFmtId="0" fontId="70" fillId="0" borderId="23" xfId="0" applyFont="1" applyBorder="1" applyAlignment="1">
      <alignment horizontal="left" vertical="center" wrapText="1"/>
    </xf>
    <xf numFmtId="171" fontId="58" fillId="0" borderId="35" xfId="0" applyNumberFormat="1" applyFont="1" applyBorder="1" applyAlignment="1">
      <alignment horizontal="center" vertical="center"/>
    </xf>
    <xf numFmtId="170" fontId="58" fillId="0" borderId="23" xfId="0" applyNumberFormat="1" applyFont="1" applyBorder="1" applyAlignment="1">
      <alignment horizontal="center" vertical="center"/>
    </xf>
    <xf numFmtId="4" fontId="79" fillId="0" borderId="45" xfId="0" applyNumberFormat="1" applyFont="1" applyBorder="1" applyAlignment="1">
      <alignment horizontal="right" vertical="center" wrapText="1"/>
    </xf>
    <xf numFmtId="4" fontId="79" fillId="0" borderId="24" xfId="0" applyNumberFormat="1" applyFont="1" applyBorder="1" applyAlignment="1">
      <alignment horizontal="right" vertical="center" wrapText="1"/>
    </xf>
    <xf numFmtId="4" fontId="79" fillId="0" borderId="20" xfId="0" applyNumberFormat="1" applyFont="1" applyBorder="1" applyAlignment="1">
      <alignment horizontal="right" vertical="center" wrapText="1"/>
    </xf>
    <xf numFmtId="172" fontId="58" fillId="0" borderId="35" xfId="0" applyNumberFormat="1" applyFont="1" applyBorder="1" applyAlignment="1">
      <alignment horizontal="center" vertical="center"/>
    </xf>
    <xf numFmtId="171" fontId="81" fillId="0" borderId="47" xfId="0" applyNumberFormat="1" applyFont="1" applyBorder="1" applyAlignment="1">
      <alignment horizontal="center" vertical="center"/>
    </xf>
    <xf numFmtId="172" fontId="81" fillId="0" borderId="47" xfId="0" applyNumberFormat="1" applyFont="1" applyBorder="1" applyAlignment="1">
      <alignment horizontal="center" vertical="center"/>
    </xf>
    <xf numFmtId="0" fontId="58" fillId="0" borderId="47" xfId="0" applyFont="1" applyBorder="1" applyAlignment="1">
      <alignment horizontal="left" vertical="center" wrapText="1"/>
    </xf>
    <xf numFmtId="0" fontId="81" fillId="0" borderId="47" xfId="0" applyFont="1" applyBorder="1" applyAlignment="1">
      <alignment horizontal="left" vertical="center" wrapText="1"/>
    </xf>
    <xf numFmtId="4" fontId="79" fillId="0" borderId="48" xfId="0" applyNumberFormat="1" applyFont="1" applyBorder="1" applyAlignment="1">
      <alignment horizontal="right" vertical="center" wrapText="1"/>
    </xf>
    <xf numFmtId="0" fontId="84" fillId="0" borderId="49" xfId="0" applyFont="1" applyBorder="1"/>
    <xf numFmtId="170" fontId="79" fillId="0" borderId="52" xfId="0" applyNumberFormat="1" applyFont="1" applyBorder="1" applyAlignment="1">
      <alignment horizontal="center" vertical="center"/>
    </xf>
    <xf numFmtId="4" fontId="79" fillId="0" borderId="20" xfId="0" applyNumberFormat="1" applyFont="1" applyBorder="1" applyAlignment="1">
      <alignment vertical="center" wrapText="1"/>
    </xf>
    <xf numFmtId="4" fontId="79" fillId="0" borderId="50" xfId="0" applyNumberFormat="1" applyFont="1" applyBorder="1" applyAlignment="1">
      <alignment vertical="center" wrapText="1"/>
    </xf>
    <xf numFmtId="4" fontId="79" fillId="0" borderId="53" xfId="0" applyNumberFormat="1" applyFont="1" applyBorder="1" applyAlignment="1">
      <alignment vertical="center" wrapText="1"/>
    </xf>
    <xf numFmtId="4" fontId="79" fillId="0" borderId="44" xfId="0" applyNumberFormat="1" applyFont="1" applyBorder="1" applyAlignment="1">
      <alignment vertical="center"/>
    </xf>
    <xf numFmtId="4" fontId="79" fillId="0" borderId="20" xfId="0" applyNumberFormat="1" applyFont="1" applyBorder="1" applyAlignment="1">
      <alignment vertical="center"/>
    </xf>
    <xf numFmtId="4" fontId="79" fillId="0" borderId="53" xfId="0" applyNumberFormat="1" applyFont="1" applyBorder="1" applyAlignment="1">
      <alignment vertical="center"/>
    </xf>
    <xf numFmtId="4" fontId="79" fillId="0" borderId="44" xfId="0" applyNumberFormat="1" applyFont="1" applyBorder="1" applyAlignment="1">
      <alignment horizontal="right" vertical="center"/>
    </xf>
    <xf numFmtId="4" fontId="79" fillId="0" borderId="44" xfId="0" applyNumberFormat="1" applyFont="1" applyBorder="1" applyAlignment="1">
      <alignment horizontal="right" vertical="center" wrapText="1"/>
    </xf>
    <xf numFmtId="4" fontId="79" fillId="0" borderId="53" xfId="0" applyNumberFormat="1" applyFont="1" applyBorder="1" applyAlignment="1">
      <alignment horizontal="right" vertical="center" wrapText="1"/>
    </xf>
    <xf numFmtId="4" fontId="79" fillId="0" borderId="54" xfId="0" applyNumberFormat="1" applyFont="1" applyBorder="1" applyAlignment="1">
      <alignment horizontal="right" vertical="center" wrapText="1"/>
    </xf>
    <xf numFmtId="4" fontId="79" fillId="30" borderId="44" xfId="0" applyNumberFormat="1" applyFont="1" applyFill="1" applyBorder="1" applyAlignment="1">
      <alignment horizontal="right" vertical="center" wrapText="1"/>
    </xf>
    <xf numFmtId="4" fontId="79" fillId="0" borderId="50" xfId="0" applyNumberFormat="1" applyFont="1" applyBorder="1" applyAlignment="1">
      <alignment horizontal="right" vertical="center" wrapText="1"/>
    </xf>
    <xf numFmtId="4" fontId="79" fillId="30" borderId="53" xfId="0" applyNumberFormat="1" applyFont="1" applyFill="1" applyBorder="1" applyAlignment="1">
      <alignment horizontal="right" vertical="center" wrapText="1"/>
    </xf>
    <xf numFmtId="170" fontId="58" fillId="0" borderId="52" xfId="0" applyNumberFormat="1" applyFont="1" applyBorder="1" applyAlignment="1">
      <alignment horizontal="center" vertical="center"/>
    </xf>
    <xf numFmtId="4" fontId="79" fillId="0" borderId="54" xfId="0" applyNumberFormat="1" applyFont="1" applyBorder="1" applyAlignment="1">
      <alignment vertical="center"/>
    </xf>
    <xf numFmtId="4" fontId="79" fillId="0" borderId="54" xfId="0" applyNumberFormat="1" applyFont="1" applyBorder="1" applyAlignment="1">
      <alignment horizontal="right" vertical="center"/>
    </xf>
    <xf numFmtId="4" fontId="79" fillId="0" borderId="53" xfId="0" applyNumberFormat="1" applyFont="1" applyBorder="1" applyAlignment="1">
      <alignment horizontal="right" vertical="center"/>
    </xf>
    <xf numFmtId="170" fontId="58" fillId="0" borderId="55" xfId="0" applyNumberFormat="1" applyFont="1" applyBorder="1" applyAlignment="1">
      <alignment horizontal="center" vertical="center"/>
    </xf>
    <xf numFmtId="0" fontId="89" fillId="0" borderId="17" xfId="1" applyFont="1" applyBorder="1" applyAlignment="1">
      <alignment horizontal="center" vertical="center" textRotation="90" wrapText="1"/>
    </xf>
    <xf numFmtId="0" fontId="89" fillId="0" borderId="16" xfId="1" applyFont="1" applyBorder="1" applyAlignment="1">
      <alignment horizontal="center" vertical="center" textRotation="90" wrapText="1"/>
    </xf>
    <xf numFmtId="0" fontId="89" fillId="0" borderId="16" xfId="1" applyFont="1" applyBorder="1" applyAlignment="1">
      <alignment horizontal="center" vertical="center" wrapText="1"/>
    </xf>
    <xf numFmtId="0" fontId="79" fillId="0" borderId="23" xfId="0" applyFont="1" applyBorder="1" applyAlignment="1">
      <alignment vertical="center" wrapText="1"/>
    </xf>
    <xf numFmtId="0" fontId="79" fillId="0" borderId="13" xfId="0" applyFont="1" applyBorder="1" applyAlignment="1">
      <alignment wrapText="1"/>
    </xf>
    <xf numFmtId="0" fontId="79" fillId="0" borderId="23" xfId="0" applyFont="1" applyBorder="1" applyAlignment="1">
      <alignment horizontal="center" vertical="center"/>
    </xf>
    <xf numFmtId="0" fontId="79" fillId="0" borderId="13" xfId="0" applyFont="1" applyBorder="1" applyAlignment="1">
      <alignment horizontal="center" vertical="center"/>
    </xf>
    <xf numFmtId="3" fontId="79" fillId="0" borderId="13" xfId="0" applyNumberFormat="1" applyFont="1" applyBorder="1" applyAlignment="1">
      <alignment horizontal="center" vertical="center"/>
    </xf>
    <xf numFmtId="0" fontId="79" fillId="30" borderId="13" xfId="0" applyFont="1" applyFill="1" applyBorder="1" applyAlignment="1">
      <alignment vertical="center" wrapText="1"/>
    </xf>
    <xf numFmtId="0" fontId="79" fillId="0" borderId="13" xfId="0" applyFont="1" applyBorder="1" applyAlignment="1">
      <alignment horizontal="center" vertical="center" wrapText="1"/>
    </xf>
    <xf numFmtId="0" fontId="79" fillId="0" borderId="23" xfId="0" applyFont="1" applyBorder="1" applyAlignment="1">
      <alignment wrapText="1"/>
    </xf>
    <xf numFmtId="170" fontId="81" fillId="0" borderId="46" xfId="0" applyNumberFormat="1" applyFont="1" applyBorder="1" applyAlignment="1">
      <alignment horizontal="center" vertical="center"/>
    </xf>
    <xf numFmtId="0" fontId="93" fillId="0" borderId="16" xfId="1" applyFont="1" applyBorder="1" applyAlignment="1">
      <alignment horizontal="center" vertical="center" wrapText="1"/>
    </xf>
    <xf numFmtId="0" fontId="94" fillId="0" borderId="15" xfId="1" applyFont="1" applyBorder="1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0" fontId="71" fillId="31" borderId="0" xfId="0" applyFont="1" applyFill="1"/>
    <xf numFmtId="0" fontId="67" fillId="31" borderId="0" xfId="0" applyFont="1" applyFill="1"/>
    <xf numFmtId="0" fontId="77" fillId="31" borderId="0" xfId="0" applyFont="1" applyFill="1" applyAlignment="1">
      <alignment horizontal="center" vertical="center"/>
    </xf>
    <xf numFmtId="170" fontId="96" fillId="0" borderId="18" xfId="0" applyNumberFormat="1" applyFont="1" applyBorder="1" applyAlignment="1">
      <alignment horizontal="center" vertical="center"/>
    </xf>
    <xf numFmtId="171" fontId="96" fillId="0" borderId="13" xfId="0" applyNumberFormat="1" applyFont="1" applyBorder="1" applyAlignment="1">
      <alignment horizontal="center" vertical="center"/>
    </xf>
    <xf numFmtId="172" fontId="96" fillId="0" borderId="13" xfId="0" applyNumberFormat="1" applyFont="1" applyBorder="1" applyAlignment="1">
      <alignment horizontal="center" vertical="center"/>
    </xf>
    <xf numFmtId="0" fontId="96" fillId="0" borderId="13" xfId="0" applyFont="1" applyBorder="1" applyAlignment="1">
      <alignment horizontal="left" vertical="center" wrapText="1"/>
    </xf>
    <xf numFmtId="4" fontId="96" fillId="0" borderId="13" xfId="0" applyNumberFormat="1" applyFont="1" applyBorder="1" applyAlignment="1">
      <alignment horizontal="right" vertical="center"/>
    </xf>
    <xf numFmtId="172" fontId="97" fillId="0" borderId="13" xfId="0" applyNumberFormat="1" applyFont="1" applyBorder="1" applyAlignment="1">
      <alignment horizontal="center" vertical="center"/>
    </xf>
    <xf numFmtId="0" fontId="97" fillId="0" borderId="13" xfId="0" applyFont="1" applyBorder="1" applyAlignment="1">
      <alignment horizontal="left" vertical="center" wrapText="1"/>
    </xf>
    <xf numFmtId="4" fontId="97" fillId="0" borderId="13" xfId="0" applyNumberFormat="1" applyFont="1" applyBorder="1" applyAlignment="1">
      <alignment horizontal="right" vertical="center"/>
    </xf>
    <xf numFmtId="170" fontId="97" fillId="0" borderId="18" xfId="0" applyNumberFormat="1" applyFont="1" applyBorder="1" applyAlignment="1">
      <alignment horizontal="center" vertical="center"/>
    </xf>
    <xf numFmtId="171" fontId="97" fillId="0" borderId="13" xfId="0" applyNumberFormat="1" applyFont="1" applyBorder="1" applyAlignment="1">
      <alignment horizontal="center" vertical="center"/>
    </xf>
    <xf numFmtId="170" fontId="98" fillId="0" borderId="18" xfId="0" applyNumberFormat="1" applyFont="1" applyBorder="1" applyAlignment="1">
      <alignment horizontal="center" vertical="center"/>
    </xf>
    <xf numFmtId="171" fontId="98" fillId="0" borderId="13" xfId="0" applyNumberFormat="1" applyFont="1" applyBorder="1" applyAlignment="1">
      <alignment horizontal="center" vertical="center"/>
    </xf>
    <xf numFmtId="172" fontId="98" fillId="0" borderId="13" xfId="0" applyNumberFormat="1" applyFont="1" applyBorder="1" applyAlignment="1">
      <alignment horizontal="center" vertical="center"/>
    </xf>
    <xf numFmtId="0" fontId="78" fillId="0" borderId="13" xfId="0" applyFont="1" applyBorder="1" applyAlignment="1">
      <alignment horizontal="left" vertical="center" wrapText="1"/>
    </xf>
    <xf numFmtId="4" fontId="78" fillId="0" borderId="13" xfId="0" applyNumberFormat="1" applyFont="1" applyBorder="1" applyAlignment="1">
      <alignment horizontal="right" vertical="center"/>
    </xf>
    <xf numFmtId="170" fontId="90" fillId="0" borderId="0" xfId="0" applyNumberFormat="1" applyFont="1" applyAlignment="1">
      <alignment horizontal="center" vertical="center"/>
    </xf>
    <xf numFmtId="171" fontId="90" fillId="0" borderId="0" xfId="0" applyNumberFormat="1" applyFont="1" applyAlignment="1">
      <alignment horizontal="center" vertical="center"/>
    </xf>
    <xf numFmtId="172" fontId="90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4" fontId="57" fillId="0" borderId="0" xfId="0" applyNumberFormat="1" applyFont="1" applyAlignment="1">
      <alignment horizontal="right" vertical="center"/>
    </xf>
    <xf numFmtId="0" fontId="0" fillId="30" borderId="0" xfId="0" applyFill="1"/>
    <xf numFmtId="4" fontId="82" fillId="0" borderId="13" xfId="0" applyNumberFormat="1" applyFont="1" applyBorder="1" applyAlignment="1">
      <alignment horizontal="right" vertical="center"/>
    </xf>
    <xf numFmtId="170" fontId="82" fillId="0" borderId="18" xfId="0" applyNumberFormat="1" applyFont="1" applyBorder="1" applyAlignment="1">
      <alignment horizontal="center" vertical="center"/>
    </xf>
    <xf numFmtId="171" fontId="82" fillId="0" borderId="13" xfId="0" applyNumberFormat="1" applyFont="1" applyBorder="1" applyAlignment="1">
      <alignment horizontal="center" vertical="center"/>
    </xf>
    <xf numFmtId="172" fontId="82" fillId="0" borderId="13" xfId="0" applyNumberFormat="1" applyFont="1" applyBorder="1" applyAlignment="1">
      <alignment horizontal="center" vertical="center"/>
    </xf>
    <xf numFmtId="0" fontId="82" fillId="0" borderId="13" xfId="0" applyFont="1" applyBorder="1" applyAlignment="1">
      <alignment horizontal="left" vertical="center" wrapText="1"/>
    </xf>
    <xf numFmtId="170" fontId="90" fillId="0" borderId="18" xfId="0" applyNumberFormat="1" applyFont="1" applyBorder="1" applyAlignment="1">
      <alignment horizontal="center" vertical="center"/>
    </xf>
    <xf numFmtId="171" fontId="90" fillId="0" borderId="13" xfId="0" applyNumberFormat="1" applyFont="1" applyBorder="1" applyAlignment="1">
      <alignment horizontal="center" vertical="center"/>
    </xf>
    <xf numFmtId="172" fontId="90" fillId="0" borderId="13" xfId="0" applyNumberFormat="1" applyFont="1" applyBorder="1" applyAlignment="1">
      <alignment horizontal="center" vertical="center"/>
    </xf>
    <xf numFmtId="170" fontId="78" fillId="0" borderId="18" xfId="0" applyNumberFormat="1" applyFont="1" applyBorder="1" applyAlignment="1">
      <alignment horizontal="center" vertical="center"/>
    </xf>
    <xf numFmtId="171" fontId="78" fillId="0" borderId="13" xfId="0" applyNumberFormat="1" applyFont="1" applyBorder="1" applyAlignment="1">
      <alignment horizontal="center" vertical="center"/>
    </xf>
    <xf numFmtId="172" fontId="78" fillId="0" borderId="13" xfId="0" applyNumberFormat="1" applyFont="1" applyBorder="1" applyAlignment="1">
      <alignment horizontal="center" vertical="center"/>
    </xf>
    <xf numFmtId="0" fontId="96" fillId="0" borderId="0" xfId="0" applyFont="1" applyAlignment="1">
      <alignment vertical="center" wrapText="1"/>
    </xf>
    <xf numFmtId="172" fontId="74" fillId="0" borderId="13" xfId="0" applyNumberFormat="1" applyFont="1" applyBorder="1" applyAlignment="1">
      <alignment horizontal="center" vertical="center"/>
    </xf>
    <xf numFmtId="0" fontId="101" fillId="0" borderId="16" xfId="1" applyFont="1" applyBorder="1" applyAlignment="1">
      <alignment horizontal="center" vertical="center" wrapText="1"/>
    </xf>
    <xf numFmtId="0" fontId="99" fillId="0" borderId="17" xfId="1" applyFont="1" applyBorder="1" applyAlignment="1">
      <alignment horizontal="center" vertical="center" textRotation="90" wrapText="1"/>
    </xf>
    <xf numFmtId="0" fontId="99" fillId="0" borderId="16" xfId="1" applyFont="1" applyBorder="1" applyAlignment="1">
      <alignment horizontal="center" vertical="center" textRotation="90" wrapText="1"/>
    </xf>
    <xf numFmtId="0" fontId="99" fillId="0" borderId="16" xfId="1" applyFont="1" applyBorder="1" applyAlignment="1">
      <alignment horizontal="center" vertical="center" wrapText="1"/>
    </xf>
    <xf numFmtId="0" fontId="102" fillId="0" borderId="17" xfId="1" applyFont="1" applyBorder="1" applyAlignment="1">
      <alignment horizontal="center" vertical="center" textRotation="90" wrapText="1"/>
    </xf>
    <xf numFmtId="0" fontId="102" fillId="0" borderId="16" xfId="1" applyFont="1" applyBorder="1" applyAlignment="1">
      <alignment horizontal="center" vertical="center" textRotation="90" wrapText="1"/>
    </xf>
    <xf numFmtId="0" fontId="102" fillId="0" borderId="16" xfId="1" applyFont="1" applyBorder="1" applyAlignment="1">
      <alignment horizontal="center" vertical="center" wrapText="1"/>
    </xf>
    <xf numFmtId="0" fontId="89" fillId="0" borderId="14" xfId="1" applyFont="1" applyBorder="1" applyAlignment="1">
      <alignment horizontal="center" vertical="center" wrapText="1"/>
    </xf>
    <xf numFmtId="0" fontId="89" fillId="0" borderId="15" xfId="1" applyFont="1" applyBorder="1" applyAlignment="1">
      <alignment horizontal="center" vertical="center" wrapText="1"/>
    </xf>
    <xf numFmtId="0" fontId="102" fillId="0" borderId="15" xfId="1" applyFont="1" applyBorder="1" applyAlignment="1">
      <alignment horizontal="center" vertical="center" wrapText="1"/>
    </xf>
    <xf numFmtId="4" fontId="58" fillId="0" borderId="39" xfId="0" applyNumberFormat="1" applyFont="1" applyBorder="1" applyAlignment="1">
      <alignment horizontal="right" vertical="center"/>
    </xf>
    <xf numFmtId="4" fontId="70" fillId="0" borderId="53" xfId="0" applyNumberFormat="1" applyFont="1" applyBorder="1" applyAlignment="1">
      <alignment horizontal="right" vertical="center"/>
    </xf>
    <xf numFmtId="4" fontId="57" fillId="0" borderId="39" xfId="0" applyNumberFormat="1" applyFont="1" applyBorder="1" applyAlignment="1">
      <alignment horizontal="right" vertical="center"/>
    </xf>
    <xf numFmtId="0" fontId="67" fillId="0" borderId="34" xfId="0" applyFont="1" applyBorder="1" applyAlignment="1">
      <alignment horizontal="center"/>
    </xf>
    <xf numFmtId="0" fontId="68" fillId="0" borderId="34" xfId="0" applyFont="1" applyBorder="1" applyAlignment="1">
      <alignment horizontal="center"/>
    </xf>
    <xf numFmtId="0" fontId="66" fillId="0" borderId="34" xfId="0" applyFont="1" applyBorder="1" applyAlignment="1">
      <alignment horizontal="center"/>
    </xf>
    <xf numFmtId="0" fontId="101" fillId="0" borderId="19" xfId="1" applyFont="1" applyBorder="1" applyAlignment="1">
      <alignment horizontal="center" vertical="center" wrapText="1"/>
    </xf>
    <xf numFmtId="0" fontId="94" fillId="0" borderId="57" xfId="1" applyFont="1" applyBorder="1" applyAlignment="1">
      <alignment horizontal="center" vertical="center" wrapText="1"/>
    </xf>
    <xf numFmtId="0" fontId="67" fillId="0" borderId="50" xfId="0" applyFont="1" applyBorder="1"/>
    <xf numFmtId="4" fontId="57" fillId="0" borderId="20" xfId="0" applyNumberFormat="1" applyFont="1" applyBorder="1" applyAlignment="1">
      <alignment horizontal="right" vertical="center"/>
    </xf>
    <xf numFmtId="4" fontId="58" fillId="0" borderId="20" xfId="0" applyNumberFormat="1" applyFont="1" applyBorder="1" applyAlignment="1">
      <alignment horizontal="right" vertical="center"/>
    </xf>
    <xf numFmtId="4" fontId="58" fillId="0" borderId="53" xfId="0" applyNumberFormat="1" applyFont="1" applyBorder="1" applyAlignment="1">
      <alignment horizontal="right" vertical="center"/>
    </xf>
    <xf numFmtId="4" fontId="70" fillId="0" borderId="58" xfId="0" applyNumberFormat="1" applyFont="1" applyBorder="1" applyAlignment="1">
      <alignment horizontal="right" vertical="center"/>
    </xf>
    <xf numFmtId="4" fontId="70" fillId="0" borderId="59" xfId="0" applyNumberFormat="1" applyFont="1" applyBorder="1" applyAlignment="1">
      <alignment horizontal="right" vertical="center"/>
    </xf>
    <xf numFmtId="171" fontId="70" fillId="0" borderId="35" xfId="0" applyNumberFormat="1" applyFont="1" applyBorder="1" applyAlignment="1">
      <alignment horizontal="center" vertical="center"/>
    </xf>
    <xf numFmtId="172" fontId="70" fillId="0" borderId="35" xfId="0" applyNumberFormat="1" applyFont="1" applyBorder="1" applyAlignment="1">
      <alignment horizontal="center" vertical="center"/>
    </xf>
    <xf numFmtId="0" fontId="70" fillId="0" borderId="35" xfId="0" applyFont="1" applyBorder="1" applyAlignment="1">
      <alignment horizontal="left" vertical="center" wrapText="1"/>
    </xf>
    <xf numFmtId="4" fontId="70" fillId="0" borderId="35" xfId="0" applyNumberFormat="1" applyFont="1" applyBorder="1" applyAlignment="1">
      <alignment horizontal="right" vertical="center"/>
    </xf>
    <xf numFmtId="4" fontId="70" fillId="0" borderId="50" xfId="0" applyNumberFormat="1" applyFont="1" applyBorder="1" applyAlignment="1">
      <alignment horizontal="right" vertical="center"/>
    </xf>
    <xf numFmtId="170" fontId="70" fillId="0" borderId="46" xfId="0" applyNumberFormat="1" applyFont="1" applyBorder="1" applyAlignment="1">
      <alignment horizontal="center" vertical="center"/>
    </xf>
    <xf numFmtId="171" fontId="70" fillId="0" borderId="47" xfId="0" applyNumberFormat="1" applyFont="1" applyBorder="1" applyAlignment="1">
      <alignment horizontal="center" vertical="center"/>
    </xf>
    <xf numFmtId="172" fontId="70" fillId="0" borderId="47" xfId="0" applyNumberFormat="1" applyFont="1" applyBorder="1" applyAlignment="1">
      <alignment horizontal="center" vertical="center"/>
    </xf>
    <xf numFmtId="0" fontId="64" fillId="0" borderId="47" xfId="0" applyFont="1" applyBorder="1" applyAlignment="1">
      <alignment horizontal="left" vertical="center" wrapText="1"/>
    </xf>
    <xf numFmtId="4" fontId="64" fillId="0" borderId="47" xfId="0" applyNumberFormat="1" applyFont="1" applyBorder="1" applyAlignment="1">
      <alignment horizontal="right" vertical="center"/>
    </xf>
    <xf numFmtId="0" fontId="92" fillId="0" borderId="0" xfId="0" applyFont="1" applyAlignment="1">
      <alignment horizontal="right" vertical="center"/>
    </xf>
    <xf numFmtId="170" fontId="70" fillId="0" borderId="0" xfId="0" applyNumberFormat="1" applyFont="1" applyAlignment="1">
      <alignment horizontal="center" vertical="center"/>
    </xf>
    <xf numFmtId="171" fontId="70" fillId="0" borderId="0" xfId="0" applyNumberFormat="1" applyFont="1" applyAlignment="1">
      <alignment horizontal="center" vertical="center"/>
    </xf>
    <xf numFmtId="172" fontId="70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100" fillId="0" borderId="17" xfId="1" applyFont="1" applyBorder="1" applyAlignment="1">
      <alignment horizontal="center" vertical="center" textRotation="90" wrapText="1"/>
    </xf>
    <xf numFmtId="0" fontId="100" fillId="0" borderId="16" xfId="1" applyFont="1" applyBorder="1" applyAlignment="1">
      <alignment horizontal="center" vertical="center" textRotation="90" wrapText="1"/>
    </xf>
    <xf numFmtId="0" fontId="100" fillId="0" borderId="16" xfId="1" applyFont="1" applyBorder="1" applyAlignment="1">
      <alignment horizontal="center" vertical="center" wrapText="1"/>
    </xf>
    <xf numFmtId="4" fontId="58" fillId="0" borderId="19" xfId="0" applyNumberFormat="1" applyFont="1" applyBorder="1" applyAlignment="1">
      <alignment horizontal="right" vertical="center"/>
    </xf>
    <xf numFmtId="170" fontId="70" fillId="0" borderId="55" xfId="0" applyNumberFormat="1" applyFont="1" applyBorder="1" applyAlignment="1">
      <alignment horizontal="center" vertical="center"/>
    </xf>
    <xf numFmtId="0" fontId="93" fillId="0" borderId="19" xfId="1" applyFont="1" applyBorder="1" applyAlignment="1">
      <alignment horizontal="center" vertical="center" wrapText="1"/>
    </xf>
    <xf numFmtId="0" fontId="0" fillId="0" borderId="49" xfId="0" applyBorder="1"/>
    <xf numFmtId="4" fontId="72" fillId="0" borderId="20" xfId="0" applyNumberFormat="1" applyFont="1" applyBorder="1" applyAlignment="1">
      <alignment horizontal="right" vertical="center"/>
    </xf>
    <xf numFmtId="4" fontId="58" fillId="30" borderId="20" xfId="0" applyNumberFormat="1" applyFont="1" applyFill="1" applyBorder="1" applyAlignment="1">
      <alignment horizontal="right" vertical="center"/>
    </xf>
    <xf numFmtId="170" fontId="58" fillId="0" borderId="14" xfId="0" applyNumberFormat="1" applyFont="1" applyBorder="1" applyAlignment="1">
      <alignment horizontal="center" vertical="center"/>
    </xf>
    <xf numFmtId="171" fontId="58" fillId="0" borderId="21" xfId="0" applyNumberFormat="1" applyFont="1" applyBorder="1" applyAlignment="1">
      <alignment horizontal="center" vertical="center"/>
    </xf>
    <xf numFmtId="172" fontId="58" fillId="0" borderId="21" xfId="0" applyNumberFormat="1" applyFont="1" applyBorder="1" applyAlignment="1">
      <alignment horizontal="center" vertical="center"/>
    </xf>
    <xf numFmtId="0" fontId="58" fillId="0" borderId="21" xfId="0" applyFont="1" applyBorder="1" applyAlignment="1">
      <alignment horizontal="left" vertical="center" wrapText="1"/>
    </xf>
    <xf numFmtId="4" fontId="58" fillId="0" borderId="21" xfId="0" applyNumberFormat="1" applyFont="1" applyBorder="1" applyAlignment="1">
      <alignment horizontal="right" vertical="center"/>
    </xf>
    <xf numFmtId="0" fontId="76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0" fontId="0" fillId="0" borderId="0" xfId="0" applyAlignment="1">
      <alignment vertical="center"/>
    </xf>
    <xf numFmtId="0" fontId="76" fillId="0" borderId="0" xfId="0" applyFont="1" applyAlignment="1">
      <alignment horizontal="justify" vertical="center"/>
    </xf>
    <xf numFmtId="0" fontId="62" fillId="0" borderId="0" xfId="0" applyFont="1" applyAlignment="1">
      <alignment horizontal="justify" vertical="center"/>
    </xf>
    <xf numFmtId="0" fontId="106" fillId="0" borderId="26" xfId="0" applyFont="1" applyBorder="1" applyAlignment="1">
      <alignment vertical="center" wrapText="1"/>
    </xf>
    <xf numFmtId="0" fontId="106" fillId="0" borderId="27" xfId="0" applyFont="1" applyBorder="1" applyAlignment="1">
      <alignment vertical="center" wrapText="1"/>
    </xf>
    <xf numFmtId="0" fontId="10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2" fillId="0" borderId="31" xfId="0" applyFont="1" applyBorder="1" applyAlignment="1">
      <alignment horizontal="center" vertical="center" wrapText="1"/>
    </xf>
    <xf numFmtId="0" fontId="82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7" fillId="0" borderId="26" xfId="0" applyFont="1" applyBorder="1" applyAlignment="1">
      <alignment vertical="center" wrapText="1"/>
    </xf>
    <xf numFmtId="0" fontId="82" fillId="0" borderId="30" xfId="0" applyFont="1" applyBorder="1" applyAlignment="1">
      <alignment vertical="center" wrapText="1"/>
    </xf>
    <xf numFmtId="0" fontId="82" fillId="0" borderId="25" xfId="0" applyFont="1" applyBorder="1" applyAlignment="1">
      <alignment vertical="center" wrapText="1"/>
    </xf>
    <xf numFmtId="0" fontId="82" fillId="0" borderId="25" xfId="0" applyFont="1" applyBorder="1" applyAlignment="1">
      <alignment horizontal="center" vertical="center" wrapText="1"/>
    </xf>
    <xf numFmtId="4" fontId="0" fillId="0" borderId="30" xfId="0" applyNumberForma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76" fillId="0" borderId="0" xfId="0" applyFont="1" applyAlignment="1">
      <alignment vertical="center"/>
    </xf>
    <xf numFmtId="0" fontId="10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82" fillId="0" borderId="30" xfId="0" applyFont="1" applyBorder="1" applyAlignment="1">
      <alignment horizontal="center" vertical="center" wrapText="1"/>
    </xf>
    <xf numFmtId="4" fontId="82" fillId="0" borderId="30" xfId="0" applyNumberFormat="1" applyFont="1" applyBorder="1" applyAlignment="1">
      <alignment horizontal="right" vertical="center" wrapText="1"/>
    </xf>
    <xf numFmtId="4" fontId="108" fillId="0" borderId="30" xfId="0" applyNumberFormat="1" applyFont="1" applyBorder="1" applyAlignment="1">
      <alignment horizontal="right" vertical="center" wrapText="1"/>
    </xf>
    <xf numFmtId="0" fontId="82" fillId="0" borderId="25" xfId="0" applyFont="1" applyBorder="1" applyAlignment="1">
      <alignment horizontal="right" vertical="center" wrapText="1"/>
    </xf>
    <xf numFmtId="4" fontId="82" fillId="0" borderId="25" xfId="0" applyNumberFormat="1" applyFont="1" applyBorder="1" applyAlignment="1">
      <alignment horizontal="righ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32" xfId="0" applyBorder="1" applyAlignment="1">
      <alignment horizontal="right" vertical="center" wrapText="1"/>
    </xf>
    <xf numFmtId="0" fontId="53" fillId="0" borderId="0" xfId="0" applyFont="1" applyAlignment="1">
      <alignment horizontal="justify" vertical="center"/>
    </xf>
    <xf numFmtId="0" fontId="57" fillId="0" borderId="0" xfId="0" applyFont="1"/>
    <xf numFmtId="0" fontId="75" fillId="31" borderId="0" xfId="0" applyFont="1" applyFill="1"/>
    <xf numFmtId="0" fontId="58" fillId="31" borderId="0" xfId="0" applyFont="1" applyFill="1"/>
    <xf numFmtId="0" fontId="75" fillId="31" borderId="0" xfId="0" applyFont="1" applyFill="1" applyAlignment="1">
      <alignment horizontal="center" vertical="center"/>
    </xf>
    <xf numFmtId="0" fontId="75" fillId="0" borderId="17" xfId="1" applyFont="1" applyBorder="1" applyAlignment="1">
      <alignment horizontal="center" vertical="center" textRotation="90" wrapText="1"/>
    </xf>
    <xf numFmtId="0" fontId="75" fillId="0" borderId="16" xfId="1" applyFont="1" applyBorder="1" applyAlignment="1">
      <alignment horizontal="center" vertical="center" textRotation="90" wrapText="1"/>
    </xf>
    <xf numFmtId="0" fontId="75" fillId="0" borderId="16" xfId="1" applyFont="1" applyBorder="1" applyAlignment="1">
      <alignment horizontal="center" vertical="center" wrapText="1"/>
    </xf>
    <xf numFmtId="0" fontId="107" fillId="0" borderId="16" xfId="1" applyFont="1" applyBorder="1" applyAlignment="1">
      <alignment horizontal="center" vertical="center" wrapText="1"/>
    </xf>
    <xf numFmtId="0" fontId="75" fillId="0" borderId="14" xfId="1" applyFont="1" applyBorder="1" applyAlignment="1">
      <alignment horizontal="center" vertical="center" wrapText="1"/>
    </xf>
    <xf numFmtId="0" fontId="75" fillId="0" borderId="15" xfId="1" applyFont="1" applyBorder="1" applyAlignment="1">
      <alignment horizontal="center" vertical="center" wrapText="1"/>
    </xf>
    <xf numFmtId="0" fontId="75" fillId="0" borderId="17" xfId="1" applyFont="1" applyBorder="1" applyAlignment="1">
      <alignment horizontal="center" vertical="center" wrapText="1"/>
    </xf>
    <xf numFmtId="170" fontId="72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172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4" fontId="72" fillId="0" borderId="0" xfId="0" applyNumberFormat="1" applyFont="1" applyAlignment="1">
      <alignment horizontal="right" vertical="center"/>
    </xf>
    <xf numFmtId="0" fontId="72" fillId="0" borderId="0" xfId="0" applyFont="1"/>
    <xf numFmtId="0" fontId="58" fillId="0" borderId="0" xfId="0" applyFont="1"/>
    <xf numFmtId="0" fontId="58" fillId="30" borderId="0" xfId="0" applyFont="1" applyFill="1"/>
    <xf numFmtId="0" fontId="79" fillId="0" borderId="0" xfId="0" applyFont="1"/>
    <xf numFmtId="0" fontId="75" fillId="0" borderId="0" xfId="0" applyFont="1" applyAlignment="1">
      <alignment vertical="center"/>
    </xf>
    <xf numFmtId="0" fontId="74" fillId="0" borderId="0" xfId="0" applyFont="1"/>
    <xf numFmtId="0" fontId="99" fillId="0" borderId="0" xfId="0" applyFont="1" applyAlignment="1">
      <alignment vertical="center"/>
    </xf>
    <xf numFmtId="0" fontId="75" fillId="0" borderId="61" xfId="0" applyFont="1" applyBorder="1" applyAlignment="1">
      <alignment horizontal="center" vertical="center"/>
    </xf>
    <xf numFmtId="0" fontId="75" fillId="0" borderId="33" xfId="0" applyFont="1" applyBorder="1" applyAlignment="1">
      <alignment horizontal="center" vertical="center"/>
    </xf>
    <xf numFmtId="0" fontId="75" fillId="0" borderId="32" xfId="0" applyFont="1" applyBorder="1" applyAlignment="1">
      <alignment horizontal="center" vertical="center"/>
    </xf>
    <xf numFmtId="3" fontId="58" fillId="0" borderId="0" xfId="0" applyNumberFormat="1" applyFont="1" applyAlignment="1">
      <alignment horizontal="center" vertical="center"/>
    </xf>
    <xf numFmtId="0" fontId="79" fillId="0" borderId="64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25" xfId="0" applyFont="1" applyBorder="1" applyAlignment="1">
      <alignment vertical="center"/>
    </xf>
    <xf numFmtId="0" fontId="79" fillId="0" borderId="30" xfId="0" applyFont="1" applyBorder="1"/>
    <xf numFmtId="0" fontId="58" fillId="0" borderId="6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4" fontId="58" fillId="0" borderId="30" xfId="0" applyNumberFormat="1" applyFont="1" applyBorder="1" applyAlignment="1">
      <alignment horizontal="right"/>
    </xf>
    <xf numFmtId="4" fontId="79" fillId="0" borderId="30" xfId="0" applyNumberFormat="1" applyFont="1" applyBorder="1" applyAlignment="1">
      <alignment horizontal="right"/>
    </xf>
    <xf numFmtId="4" fontId="58" fillId="0" borderId="30" xfId="0" applyNumberFormat="1" applyFont="1" applyBorder="1" applyAlignment="1">
      <alignment horizontal="right" vertical="center"/>
    </xf>
    <xf numFmtId="4" fontId="74" fillId="0" borderId="0" xfId="0" applyNumberFormat="1" applyFont="1"/>
    <xf numFmtId="0" fontId="58" fillId="0" borderId="64" xfId="0" applyFont="1" applyBorder="1"/>
    <xf numFmtId="0" fontId="58" fillId="0" borderId="25" xfId="0" applyFont="1" applyBorder="1"/>
    <xf numFmtId="0" fontId="58" fillId="0" borderId="64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25" xfId="0" applyFont="1" applyBorder="1" applyAlignment="1">
      <alignment horizontal="center"/>
    </xf>
    <xf numFmtId="0" fontId="79" fillId="0" borderId="64" xfId="0" applyFont="1" applyBorder="1"/>
    <xf numFmtId="0" fontId="79" fillId="0" borderId="25" xfId="0" applyFont="1" applyBorder="1"/>
    <xf numFmtId="4" fontId="75" fillId="0" borderId="67" xfId="0" applyNumberFormat="1" applyFont="1" applyBorder="1" applyAlignment="1">
      <alignment horizontal="right" vertical="center"/>
    </xf>
    <xf numFmtId="4" fontId="75" fillId="0" borderId="0" xfId="0" applyNumberFormat="1" applyFont="1"/>
    <xf numFmtId="0" fontId="109" fillId="30" borderId="0" xfId="0" applyFont="1" applyFill="1"/>
    <xf numFmtId="4" fontId="57" fillId="0" borderId="36" xfId="0" applyNumberFormat="1" applyFont="1" applyBorder="1" applyAlignment="1">
      <alignment horizontal="right" vertical="center"/>
    </xf>
    <xf numFmtId="4" fontId="67" fillId="0" borderId="0" xfId="0" applyNumberFormat="1" applyFont="1"/>
    <xf numFmtId="4" fontId="108" fillId="0" borderId="25" xfId="0" applyNumberFormat="1" applyFont="1" applyBorder="1" applyAlignment="1">
      <alignment horizontal="right" vertical="center" wrapText="1"/>
    </xf>
    <xf numFmtId="4" fontId="0" fillId="0" borderId="25" xfId="0" applyNumberFormat="1" applyBorder="1" applyAlignment="1">
      <alignment horizontal="right" vertical="center" wrapText="1"/>
    </xf>
    <xf numFmtId="0" fontId="106" fillId="0" borderId="65" xfId="0" applyFont="1" applyBorder="1" applyAlignment="1">
      <alignment horizontal="center" vertical="center" wrapText="1"/>
    </xf>
    <xf numFmtId="0" fontId="82" fillId="0" borderId="30" xfId="0" applyFont="1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4" fontId="79" fillId="30" borderId="44" xfId="0" applyNumberFormat="1" applyFont="1" applyFill="1" applyBorder="1" applyAlignment="1">
      <alignment horizontal="right" vertical="center"/>
    </xf>
    <xf numFmtId="4" fontId="58" fillId="0" borderId="24" xfId="0" applyNumberFormat="1" applyFont="1" applyBorder="1" applyAlignment="1">
      <alignment horizontal="right" vertical="center"/>
    </xf>
    <xf numFmtId="4" fontId="51" fillId="0" borderId="0" xfId="0" applyNumberFormat="1" applyFont="1"/>
    <xf numFmtId="4" fontId="62" fillId="0" borderId="25" xfId="0" applyNumberFormat="1" applyFont="1" applyBorder="1" applyAlignment="1">
      <alignment horizontal="right" vertical="center" wrapText="1"/>
    </xf>
    <xf numFmtId="0" fontId="82" fillId="0" borderId="33" xfId="0" applyFont="1" applyBorder="1"/>
    <xf numFmtId="0" fontId="62" fillId="0" borderId="26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82" fillId="0" borderId="31" xfId="0" applyFont="1" applyBorder="1" applyAlignment="1">
      <alignment vertical="top" wrapText="1"/>
    </xf>
    <xf numFmtId="0" fontId="82" fillId="0" borderId="32" xfId="0" applyFont="1" applyBorder="1" applyAlignment="1">
      <alignment vertical="top" wrapText="1"/>
    </xf>
    <xf numFmtId="0" fontId="62" fillId="0" borderId="31" xfId="0" applyFont="1" applyBorder="1" applyAlignment="1">
      <alignment horizontal="center" vertical="center" wrapText="1"/>
    </xf>
    <xf numFmtId="0" fontId="110" fillId="0" borderId="31" xfId="0" applyFont="1" applyBorder="1" applyAlignment="1">
      <alignment horizontal="center" vertical="center" wrapText="1"/>
    </xf>
    <xf numFmtId="0" fontId="110" fillId="0" borderId="32" xfId="0" applyFont="1" applyBorder="1" applyAlignment="1">
      <alignment horizontal="center" vertical="center" wrapText="1"/>
    </xf>
    <xf numFmtId="4" fontId="79" fillId="0" borderId="24" xfId="0" applyNumberFormat="1" applyFont="1" applyBorder="1" applyAlignment="1">
      <alignment horizontal="right" vertical="center"/>
    </xf>
    <xf numFmtId="4" fontId="79" fillId="0" borderId="20" xfId="0" applyNumberFormat="1" applyFont="1" applyBorder="1" applyAlignment="1">
      <alignment horizontal="right" vertical="center"/>
    </xf>
    <xf numFmtId="4" fontId="62" fillId="0" borderId="30" xfId="0" applyNumberFormat="1" applyFont="1" applyBorder="1" applyAlignment="1">
      <alignment horizontal="right" vertical="center" wrapText="1"/>
    </xf>
    <xf numFmtId="0" fontId="62" fillId="0" borderId="0" xfId="0" applyFont="1" applyAlignment="1">
      <alignment horizontal="center" vertical="center" wrapText="1"/>
    </xf>
    <xf numFmtId="0" fontId="62" fillId="0" borderId="65" xfId="0" applyFont="1" applyBorder="1" applyAlignment="1">
      <alignment horizontal="center" vertical="center" wrapText="1"/>
    </xf>
    <xf numFmtId="0" fontId="62" fillId="0" borderId="33" xfId="0" applyFont="1" applyBorder="1" applyAlignment="1">
      <alignment horizontal="center" vertical="center" wrapText="1"/>
    </xf>
    <xf numFmtId="0" fontId="56" fillId="0" borderId="17" xfId="1" applyFont="1" applyBorder="1" applyAlignment="1">
      <alignment horizontal="center" vertical="center" textRotation="90" wrapText="1"/>
    </xf>
    <xf numFmtId="0" fontId="56" fillId="0" borderId="16" xfId="1" applyFont="1" applyBorder="1" applyAlignment="1">
      <alignment horizontal="center" vertical="center" textRotation="90" wrapText="1"/>
    </xf>
    <xf numFmtId="0" fontId="56" fillId="0" borderId="16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4" fontId="57" fillId="0" borderId="24" xfId="0" applyNumberFormat="1" applyFont="1" applyBorder="1" applyAlignment="1">
      <alignment horizontal="right" vertical="center"/>
    </xf>
    <xf numFmtId="4" fontId="57" fillId="0" borderId="59" xfId="0" applyNumberFormat="1" applyFont="1" applyBorder="1" applyAlignment="1">
      <alignment horizontal="right" vertical="center"/>
    </xf>
    <xf numFmtId="170" fontId="74" fillId="0" borderId="18" xfId="0" applyNumberFormat="1" applyFont="1" applyBorder="1" applyAlignment="1">
      <alignment horizontal="center" vertical="center"/>
    </xf>
    <xf numFmtId="171" fontId="74" fillId="0" borderId="13" xfId="0" applyNumberFormat="1" applyFont="1" applyBorder="1" applyAlignment="1">
      <alignment horizontal="center" vertical="center"/>
    </xf>
    <xf numFmtId="172" fontId="74" fillId="0" borderId="36" xfId="0" applyNumberFormat="1" applyFont="1" applyBorder="1" applyAlignment="1">
      <alignment horizontal="center" vertical="center"/>
    </xf>
    <xf numFmtId="4" fontId="74" fillId="0" borderId="13" xfId="0" applyNumberFormat="1" applyFont="1" applyBorder="1" applyAlignment="1">
      <alignment horizontal="right" vertical="center"/>
    </xf>
    <xf numFmtId="0" fontId="79" fillId="0" borderId="25" xfId="0" applyFont="1" applyBorder="1" applyAlignment="1">
      <alignment horizontal="center" vertical="center" wrapText="1"/>
    </xf>
    <xf numFmtId="0" fontId="79" fillId="0" borderId="30" xfId="0" applyFont="1" applyBorder="1" applyAlignment="1">
      <alignment horizontal="justify" vertical="center" wrapText="1"/>
    </xf>
    <xf numFmtId="4" fontId="79" fillId="0" borderId="25" xfId="0" applyNumberFormat="1" applyFont="1" applyBorder="1" applyAlignment="1">
      <alignment horizontal="right" vertical="center" wrapText="1"/>
    </xf>
    <xf numFmtId="0" fontId="80" fillId="0" borderId="30" xfId="0" applyFont="1" applyBorder="1" applyAlignment="1">
      <alignment horizontal="justify" vertical="center" wrapText="1"/>
    </xf>
    <xf numFmtId="4" fontId="111" fillId="0" borderId="25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Continuous"/>
    </xf>
    <xf numFmtId="4" fontId="89" fillId="0" borderId="0" xfId="0" applyNumberFormat="1" applyFont="1" applyAlignment="1">
      <alignment horizontal="right" vertical="center" wrapText="1"/>
    </xf>
    <xf numFmtId="0" fontId="89" fillId="0" borderId="26" xfId="0" applyFont="1" applyBorder="1" applyAlignment="1">
      <alignment horizontal="center" vertical="center" wrapText="1"/>
    </xf>
    <xf numFmtId="0" fontId="89" fillId="0" borderId="27" xfId="0" applyFont="1" applyBorder="1" applyAlignment="1">
      <alignment horizontal="center" vertical="center" wrapText="1"/>
    </xf>
    <xf numFmtId="0" fontId="80" fillId="0" borderId="28" xfId="0" applyFont="1" applyBorder="1" applyAlignment="1">
      <alignment horizontal="center" vertical="center" wrapText="1"/>
    </xf>
    <xf numFmtId="0" fontId="80" fillId="0" borderId="29" xfId="0" applyFont="1" applyBorder="1" applyAlignment="1">
      <alignment horizontal="center" vertical="center" wrapText="1"/>
    </xf>
    <xf numFmtId="49" fontId="80" fillId="0" borderId="26" xfId="0" applyNumberFormat="1" applyFont="1" applyBorder="1" applyAlignment="1">
      <alignment horizontal="center" vertical="center" wrapText="1"/>
    </xf>
    <xf numFmtId="49" fontId="80" fillId="0" borderId="27" xfId="0" applyNumberFormat="1" applyFont="1" applyBorder="1" applyAlignment="1">
      <alignment horizontal="center" vertical="center" wrapText="1"/>
    </xf>
    <xf numFmtId="0" fontId="80" fillId="0" borderId="27" xfId="0" applyFont="1" applyBorder="1" applyAlignment="1">
      <alignment horizontal="center" vertical="center" wrapText="1"/>
    </xf>
    <xf numFmtId="4" fontId="80" fillId="0" borderId="27" xfId="0" applyNumberFormat="1" applyFont="1" applyBorder="1" applyAlignment="1">
      <alignment horizontal="right" vertical="center" wrapText="1"/>
    </xf>
    <xf numFmtId="0" fontId="80" fillId="0" borderId="30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4" fontId="80" fillId="0" borderId="25" xfId="0" applyNumberFormat="1" applyFont="1" applyBorder="1" applyAlignment="1">
      <alignment horizontal="right" vertical="center" wrapText="1"/>
    </xf>
    <xf numFmtId="0" fontId="80" fillId="0" borderId="31" xfId="0" applyFont="1" applyBorder="1" applyAlignment="1">
      <alignment horizontal="center" vertical="center" wrapText="1"/>
    </xf>
    <xf numFmtId="0" fontId="80" fillId="0" borderId="32" xfId="0" applyFont="1" applyBorder="1" applyAlignment="1">
      <alignment horizontal="center" vertical="center" wrapText="1"/>
    </xf>
    <xf numFmtId="4" fontId="80" fillId="0" borderId="32" xfId="0" applyNumberFormat="1" applyFont="1" applyBorder="1" applyAlignment="1">
      <alignment horizontal="right" vertical="center" wrapText="1"/>
    </xf>
    <xf numFmtId="4" fontId="89" fillId="0" borderId="33" xfId="0" applyNumberFormat="1" applyFont="1" applyBorder="1"/>
    <xf numFmtId="0" fontId="89" fillId="0" borderId="30" xfId="0" applyFont="1" applyBorder="1" applyAlignment="1">
      <alignment horizontal="center" vertical="center" wrapText="1"/>
    </xf>
    <xf numFmtId="0" fontId="89" fillId="0" borderId="25" xfId="0" applyFont="1" applyBorder="1" applyAlignment="1">
      <alignment horizontal="center" vertical="center" wrapText="1"/>
    </xf>
    <xf numFmtId="0" fontId="79" fillId="0" borderId="30" xfId="0" applyFont="1" applyBorder="1" applyAlignment="1">
      <alignment vertical="center" wrapText="1"/>
    </xf>
    <xf numFmtId="0" fontId="79" fillId="0" borderId="25" xfId="0" applyFont="1" applyBorder="1" applyAlignment="1">
      <alignment vertical="center" wrapText="1"/>
    </xf>
    <xf numFmtId="4" fontId="80" fillId="0" borderId="30" xfId="0" applyNumberFormat="1" applyFont="1" applyBorder="1" applyAlignment="1">
      <alignment horizontal="right" vertical="center" wrapText="1"/>
    </xf>
    <xf numFmtId="0" fontId="80" fillId="0" borderId="31" xfId="0" applyFont="1" applyBorder="1" applyAlignment="1">
      <alignment vertical="top" wrapText="1"/>
    </xf>
    <xf numFmtId="0" fontId="80" fillId="0" borderId="32" xfId="0" applyFont="1" applyBorder="1" applyAlignment="1">
      <alignment vertical="top" wrapText="1"/>
    </xf>
    <xf numFmtId="0" fontId="80" fillId="0" borderId="31" xfId="0" applyFont="1" applyBorder="1"/>
    <xf numFmtId="0" fontId="79" fillId="30" borderId="39" xfId="0" applyFont="1" applyFill="1" applyBorder="1" applyAlignment="1">
      <alignment vertical="center" wrapText="1"/>
    </xf>
    <xf numFmtId="4" fontId="79" fillId="30" borderId="20" xfId="0" applyNumberFormat="1" applyFont="1" applyFill="1" applyBorder="1" applyAlignment="1">
      <alignment horizontal="right" vertical="center" wrapText="1"/>
    </xf>
    <xf numFmtId="4" fontId="79" fillId="30" borderId="13" xfId="0" applyNumberFormat="1" applyFont="1" applyFill="1" applyBorder="1" applyAlignment="1">
      <alignment horizontal="center" vertical="center" wrapText="1"/>
    </xf>
    <xf numFmtId="0" fontId="79" fillId="30" borderId="38" xfId="0" applyFont="1" applyFill="1" applyBorder="1" applyAlignment="1">
      <alignment horizontal="center" vertical="center"/>
    </xf>
    <xf numFmtId="3" fontId="79" fillId="30" borderId="38" xfId="0" applyNumberFormat="1" applyFont="1" applyFill="1" applyBorder="1" applyAlignment="1">
      <alignment horizontal="center" vertical="center"/>
    </xf>
    <xf numFmtId="4" fontId="79" fillId="30" borderId="50" xfId="0" applyNumberFormat="1" applyFont="1" applyFill="1" applyBorder="1" applyAlignment="1">
      <alignment horizontal="right" vertical="center"/>
    </xf>
    <xf numFmtId="0" fontId="79" fillId="0" borderId="23" xfId="0" applyFont="1" applyBorder="1" applyAlignment="1">
      <alignment horizontal="left" vertical="center"/>
    </xf>
    <xf numFmtId="0" fontId="79" fillId="0" borderId="40" xfId="0" applyFont="1" applyBorder="1" applyAlignment="1">
      <alignment horizontal="left" vertical="center" wrapText="1"/>
    </xf>
    <xf numFmtId="4" fontId="79" fillId="0" borderId="44" xfId="0" applyNumberFormat="1" applyFont="1" applyBorder="1" applyAlignment="1">
      <alignment vertical="center" wrapText="1"/>
    </xf>
    <xf numFmtId="4" fontId="58" fillId="0" borderId="36" xfId="0" applyNumberFormat="1" applyFont="1" applyBorder="1" applyAlignment="1">
      <alignment horizontal="right" vertical="center"/>
    </xf>
    <xf numFmtId="4" fontId="53" fillId="0" borderId="0" xfId="0" applyNumberFormat="1" applyFont="1"/>
    <xf numFmtId="4" fontId="80" fillId="0" borderId="0" xfId="0" applyNumberFormat="1" applyFont="1"/>
    <xf numFmtId="170" fontId="58" fillId="0" borderId="49" xfId="0" applyNumberFormat="1" applyFont="1" applyBorder="1" applyAlignment="1">
      <alignment horizontal="center" vertical="center"/>
    </xf>
    <xf numFmtId="49" fontId="79" fillId="0" borderId="13" xfId="0" applyNumberFormat="1" applyFont="1" applyBorder="1" applyAlignment="1">
      <alignment horizontal="left" vertical="center" wrapText="1"/>
    </xf>
    <xf numFmtId="3" fontId="79" fillId="0" borderId="37" xfId="0" applyNumberFormat="1" applyFont="1" applyBorder="1" applyAlignment="1">
      <alignment horizontal="center" vertical="center" wrapText="1"/>
    </xf>
    <xf numFmtId="0" fontId="74" fillId="0" borderId="30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74" fillId="0" borderId="30" xfId="0" applyFont="1" applyBorder="1" applyAlignment="1">
      <alignment horizontal="justify" vertical="center" wrapText="1"/>
    </xf>
    <xf numFmtId="0" fontId="74" fillId="0" borderId="25" xfId="0" applyFont="1" applyBorder="1" applyAlignment="1">
      <alignment horizontal="right" vertical="center" wrapText="1"/>
    </xf>
    <xf numFmtId="0" fontId="53" fillId="0" borderId="30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justify" vertical="center" wrapText="1"/>
    </xf>
    <xf numFmtId="0" fontId="79" fillId="0" borderId="30" xfId="0" applyFont="1" applyBorder="1" applyAlignment="1">
      <alignment horizontal="center" vertical="center" wrapText="1"/>
    </xf>
    <xf numFmtId="4" fontId="56" fillId="0" borderId="25" xfId="0" applyNumberFormat="1" applyFont="1" applyBorder="1" applyAlignment="1">
      <alignment horizontal="right" vertical="center" wrapText="1"/>
    </xf>
    <xf numFmtId="4" fontId="58" fillId="0" borderId="22" xfId="0" applyNumberFormat="1" applyFont="1" applyBorder="1" applyAlignment="1">
      <alignment horizontal="right" vertical="center"/>
    </xf>
    <xf numFmtId="4" fontId="84" fillId="0" borderId="0" xfId="0" applyNumberFormat="1" applyFont="1"/>
    <xf numFmtId="0" fontId="82" fillId="0" borderId="25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82" fillId="0" borderId="0" xfId="0" applyFont="1"/>
    <xf numFmtId="4" fontId="62" fillId="0" borderId="0" xfId="0" applyNumberFormat="1" applyFont="1" applyAlignment="1">
      <alignment horizontal="right" vertical="center" wrapText="1"/>
    </xf>
    <xf numFmtId="0" fontId="79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center" wrapText="1"/>
    </xf>
    <xf numFmtId="0" fontId="74" fillId="0" borderId="0" xfId="0" applyFont="1" applyAlignment="1">
      <alignment horizontal="justify" vertical="center" wrapText="1"/>
    </xf>
    <xf numFmtId="0" fontId="89" fillId="0" borderId="0" xfId="0" applyFont="1" applyAlignment="1">
      <alignment horizontal="center" vertical="center" wrapText="1"/>
    </xf>
    <xf numFmtId="0" fontId="82" fillId="0" borderId="0" xfId="0" applyFont="1" applyAlignment="1">
      <alignment vertical="center"/>
    </xf>
    <xf numFmtId="4" fontId="62" fillId="0" borderId="32" xfId="0" applyNumberFormat="1" applyFont="1" applyBorder="1" applyAlignment="1">
      <alignment horizontal="right" vertical="center" wrapText="1"/>
    </xf>
    <xf numFmtId="4" fontId="79" fillId="0" borderId="56" xfId="0" applyNumberFormat="1" applyFont="1" applyBorder="1" applyAlignment="1">
      <alignment horizontal="right" vertical="center" wrapText="1"/>
    </xf>
    <xf numFmtId="0" fontId="79" fillId="0" borderId="13" xfId="0" applyFont="1" applyBorder="1" applyAlignment="1">
      <alignment vertical="center" wrapText="1"/>
    </xf>
    <xf numFmtId="0" fontId="79" fillId="0" borderId="43" xfId="0" applyFont="1" applyBorder="1"/>
    <xf numFmtId="0" fontId="91" fillId="0" borderId="0" xfId="0" applyFont="1" applyAlignment="1">
      <alignment horizontal="center"/>
    </xf>
    <xf numFmtId="0" fontId="0" fillId="0" borderId="0" xfId="0"/>
    <xf numFmtId="0" fontId="66" fillId="0" borderId="0" xfId="0" applyFont="1" applyAlignment="1">
      <alignment horizontal="left" vertical="top"/>
    </xf>
    <xf numFmtId="0" fontId="68" fillId="0" borderId="0" xfId="0" applyFont="1" applyAlignment="1">
      <alignment horizontal="left" vertical="top"/>
    </xf>
    <xf numFmtId="0" fontId="80" fillId="0" borderId="0" xfId="0" applyFont="1"/>
    <xf numFmtId="0" fontId="66" fillId="0" borderId="34" xfId="0" applyFont="1" applyBorder="1" applyAlignment="1">
      <alignment horizontal="center" vertical="top"/>
    </xf>
    <xf numFmtId="0" fontId="67" fillId="0" borderId="34" xfId="0" applyFont="1" applyBorder="1" applyAlignment="1">
      <alignment horizontal="center" vertical="top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6" fillId="0" borderId="0" xfId="0" applyFont="1"/>
    <xf numFmtId="0" fontId="9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5" fillId="0" borderId="34" xfId="0" applyFont="1" applyBorder="1"/>
    <xf numFmtId="0" fontId="0" fillId="0" borderId="34" xfId="0" applyBorder="1"/>
    <xf numFmtId="0" fontId="103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0" fontId="104" fillId="0" borderId="0" xfId="0" applyFont="1" applyAlignment="1">
      <alignment horizontal="center" vertical="center"/>
    </xf>
    <xf numFmtId="0" fontId="105" fillId="0" borderId="0" xfId="0" applyFont="1"/>
    <xf numFmtId="0" fontId="55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49" fontId="89" fillId="0" borderId="0" xfId="0" applyNumberFormat="1" applyFont="1" applyAlignment="1">
      <alignment horizontal="justify" vertical="center" wrapText="1"/>
    </xf>
    <xf numFmtId="0" fontId="80" fillId="0" borderId="0" xfId="0" applyFont="1" applyAlignment="1">
      <alignment wrapText="1"/>
    </xf>
    <xf numFmtId="49" fontId="89" fillId="0" borderId="33" xfId="0" applyNumberFormat="1" applyFont="1" applyBorder="1" applyAlignment="1">
      <alignment horizontal="justify" vertical="center" wrapText="1"/>
    </xf>
    <xf numFmtId="0" fontId="80" fillId="0" borderId="33" xfId="0" applyFont="1" applyBorder="1" applyAlignment="1">
      <alignment wrapText="1"/>
    </xf>
    <xf numFmtId="0" fontId="75" fillId="0" borderId="0" xfId="0" applyFont="1"/>
    <xf numFmtId="0" fontId="75" fillId="0" borderId="62" xfId="0" applyFont="1" applyBorder="1" applyAlignment="1">
      <alignment horizontal="center" vertical="center"/>
    </xf>
    <xf numFmtId="0" fontId="75" fillId="0" borderId="66" xfId="0" applyFont="1" applyBorder="1" applyAlignment="1">
      <alignment horizontal="center" vertical="center"/>
    </xf>
    <xf numFmtId="0" fontId="75" fillId="0" borderId="63" xfId="0" applyFont="1" applyBorder="1" applyAlignment="1">
      <alignment horizontal="center" vertical="center"/>
    </xf>
    <xf numFmtId="0" fontId="75" fillId="0" borderId="60" xfId="0" applyFont="1" applyBorder="1" applyAlignment="1">
      <alignment horizontal="center" vertical="center"/>
    </xf>
    <xf numFmtId="0" fontId="75" fillId="0" borderId="65" xfId="0" applyFont="1" applyBorder="1" applyAlignment="1">
      <alignment horizontal="center" vertical="center"/>
    </xf>
    <xf numFmtId="0" fontId="75" fillId="0" borderId="27" xfId="0" applyFont="1" applyBorder="1" applyAlignment="1">
      <alignment horizontal="center" vertical="center"/>
    </xf>
    <xf numFmtId="0" fontId="75" fillId="0" borderId="26" xfId="0" applyFont="1" applyBorder="1" applyAlignment="1">
      <alignment horizontal="center" vertical="center" wrapText="1"/>
    </xf>
    <xf numFmtId="0" fontId="75" fillId="0" borderId="31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26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0" fontId="82" fillId="0" borderId="0" xfId="0" applyFont="1" applyAlignment="1">
      <alignment wrapText="1"/>
    </xf>
    <xf numFmtId="0" fontId="82" fillId="0" borderId="64" xfId="0" applyFont="1" applyBorder="1" applyAlignment="1">
      <alignment vertical="center" wrapText="1"/>
    </xf>
    <xf numFmtId="0" fontId="82" fillId="0" borderId="25" xfId="0" applyFont="1" applyBorder="1" applyAlignment="1">
      <alignment vertical="center" wrapText="1"/>
    </xf>
    <xf numFmtId="0" fontId="106" fillId="0" borderId="64" xfId="0" applyFont="1" applyBorder="1" applyAlignment="1">
      <alignment horizontal="center"/>
    </xf>
    <xf numFmtId="0" fontId="106" fillId="0" borderId="25" xfId="0" applyFont="1" applyBorder="1" applyAlignment="1">
      <alignment horizontal="center"/>
    </xf>
    <xf numFmtId="0" fontId="76" fillId="0" borderId="0" xfId="0" applyFont="1" applyAlignment="1">
      <alignment horizontal="justify" vertical="center"/>
    </xf>
    <xf numFmtId="0" fontId="106" fillId="0" borderId="6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2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80" fillId="0" borderId="61" xfId="0" applyFont="1" applyBorder="1" applyAlignment="1">
      <alignment vertical="top" wrapText="1"/>
    </xf>
    <xf numFmtId="0" fontId="80" fillId="0" borderId="32" xfId="0" applyFont="1" applyBorder="1" applyAlignment="1">
      <alignment wrapText="1"/>
    </xf>
    <xf numFmtId="0" fontId="82" fillId="0" borderId="0" xfId="0" applyFont="1" applyAlignment="1">
      <alignment vertical="top" wrapText="1"/>
    </xf>
    <xf numFmtId="0" fontId="79" fillId="0" borderId="0" xfId="0" applyFont="1" applyAlignment="1">
      <alignment vertical="top" wrapText="1"/>
    </xf>
    <xf numFmtId="0" fontId="89" fillId="0" borderId="64" xfId="0" applyFont="1" applyBorder="1" applyAlignment="1">
      <alignment horizontal="center"/>
    </xf>
    <xf numFmtId="0" fontId="89" fillId="0" borderId="25" xfId="0" applyFont="1" applyBorder="1" applyAlignment="1">
      <alignment horizontal="center"/>
    </xf>
    <xf numFmtId="0" fontId="79" fillId="0" borderId="64" xfId="0" applyFont="1" applyBorder="1" applyAlignment="1">
      <alignment vertical="center" wrapText="1"/>
    </xf>
    <xf numFmtId="0" fontId="79" fillId="0" borderId="25" xfId="0" applyFont="1" applyBorder="1" applyAlignment="1">
      <alignment vertical="center" wrapText="1"/>
    </xf>
    <xf numFmtId="0" fontId="7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76" fillId="0" borderId="0" xfId="0" applyFont="1" applyAlignment="1">
      <alignment horizontal="center"/>
    </xf>
    <xf numFmtId="0" fontId="106" fillId="0" borderId="0" xfId="0" applyFont="1" applyAlignment="1">
      <alignment horizontal="center"/>
    </xf>
  </cellXfs>
  <cellStyles count="13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akcent 1 2" xfId="8" xr:uid="{00000000-0005-0000-0000-000006000000}"/>
    <cellStyle name="20% - akcent 2 2" xfId="9" xr:uid="{00000000-0005-0000-0000-000007000000}"/>
    <cellStyle name="20% - akcent 3 2" xfId="10" xr:uid="{00000000-0005-0000-0000-000008000000}"/>
    <cellStyle name="20% - akcent 4 2" xfId="11" xr:uid="{00000000-0005-0000-0000-000009000000}"/>
    <cellStyle name="20% - akcent 5 2" xfId="12" xr:uid="{00000000-0005-0000-0000-00000A000000}"/>
    <cellStyle name="20% - akcent 6 2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- akcent 1 2" xfId="20" xr:uid="{00000000-0005-0000-0000-000012000000}"/>
    <cellStyle name="40% - akcent 2 2" xfId="21" xr:uid="{00000000-0005-0000-0000-000013000000}"/>
    <cellStyle name="40% - akcent 3 2" xfId="22" xr:uid="{00000000-0005-0000-0000-000014000000}"/>
    <cellStyle name="40% - akcent 4 2" xfId="23" xr:uid="{00000000-0005-0000-0000-000015000000}"/>
    <cellStyle name="40% - akcent 5 2" xfId="24" xr:uid="{00000000-0005-0000-0000-000016000000}"/>
    <cellStyle name="40% - akcent 6 2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- akcent 1 2" xfId="32" xr:uid="{00000000-0005-0000-0000-00001E000000}"/>
    <cellStyle name="60% - akcent 2 2" xfId="33" xr:uid="{00000000-0005-0000-0000-00001F000000}"/>
    <cellStyle name="60% - akcent 3 2" xfId="34" xr:uid="{00000000-0005-0000-0000-000020000000}"/>
    <cellStyle name="60% - akcent 4 2" xfId="35" xr:uid="{00000000-0005-0000-0000-000021000000}"/>
    <cellStyle name="60% - akcent 5 2" xfId="36" xr:uid="{00000000-0005-0000-0000-000022000000}"/>
    <cellStyle name="60% - akcent 6 2" xfId="37" xr:uid="{00000000-0005-0000-0000-000023000000}"/>
    <cellStyle name="Accent1" xfId="38" xr:uid="{00000000-0005-0000-0000-000024000000}"/>
    <cellStyle name="Accent2" xfId="39" xr:uid="{00000000-0005-0000-0000-000025000000}"/>
    <cellStyle name="Accent3" xfId="40" xr:uid="{00000000-0005-0000-0000-000026000000}"/>
    <cellStyle name="Accent4" xfId="41" xr:uid="{00000000-0005-0000-0000-000027000000}"/>
    <cellStyle name="Accent5" xfId="42" xr:uid="{00000000-0005-0000-0000-000028000000}"/>
    <cellStyle name="Accent6" xfId="43" xr:uid="{00000000-0005-0000-0000-000029000000}"/>
    <cellStyle name="Akcent 1 2" xfId="45" xr:uid="{00000000-0005-0000-0000-00002A000000}"/>
    <cellStyle name="Akcent 1 3" xfId="44" xr:uid="{00000000-0005-0000-0000-00002B000000}"/>
    <cellStyle name="Akcent 2 2" xfId="47" xr:uid="{00000000-0005-0000-0000-00002C000000}"/>
    <cellStyle name="Akcent 2 3" xfId="46" xr:uid="{00000000-0005-0000-0000-00002D000000}"/>
    <cellStyle name="Akcent 3 2" xfId="49" xr:uid="{00000000-0005-0000-0000-00002E000000}"/>
    <cellStyle name="Akcent 3 3" xfId="48" xr:uid="{00000000-0005-0000-0000-00002F000000}"/>
    <cellStyle name="Akcent 4 2" xfId="51" xr:uid="{00000000-0005-0000-0000-000030000000}"/>
    <cellStyle name="Akcent 4 3" xfId="50" xr:uid="{00000000-0005-0000-0000-000031000000}"/>
    <cellStyle name="Akcent 5 2" xfId="53" xr:uid="{00000000-0005-0000-0000-000032000000}"/>
    <cellStyle name="Akcent 5 3" xfId="52" xr:uid="{00000000-0005-0000-0000-000033000000}"/>
    <cellStyle name="Akcent 6 2" xfId="55" xr:uid="{00000000-0005-0000-0000-000034000000}"/>
    <cellStyle name="Akcent 6 3" xfId="54" xr:uid="{00000000-0005-0000-0000-000035000000}"/>
    <cellStyle name="Bad" xfId="56" xr:uid="{00000000-0005-0000-0000-000036000000}"/>
    <cellStyle name="Calculation" xfId="57" xr:uid="{00000000-0005-0000-0000-000037000000}"/>
    <cellStyle name="Check Cell" xfId="58" xr:uid="{00000000-0005-0000-0000-000038000000}"/>
    <cellStyle name="Dane wejściowe 2" xfId="60" xr:uid="{00000000-0005-0000-0000-000039000000}"/>
    <cellStyle name="Dane wejściowe 3" xfId="59" xr:uid="{00000000-0005-0000-0000-00003A000000}"/>
    <cellStyle name="Dane wyjściowe 2" xfId="62" xr:uid="{00000000-0005-0000-0000-00003B000000}"/>
    <cellStyle name="Dane wyjściowe 3" xfId="61" xr:uid="{00000000-0005-0000-0000-00003C000000}"/>
    <cellStyle name="Dobre 2" xfId="63" xr:uid="{00000000-0005-0000-0000-00003D000000}"/>
    <cellStyle name="Dziesiętny 2" xfId="64" xr:uid="{00000000-0005-0000-0000-00003E000000}"/>
    <cellStyle name="Dziesiętny 2 2" xfId="129" xr:uid="{00000000-0005-0000-0000-00003F000000}"/>
    <cellStyle name="Explanatory Text" xfId="65" xr:uid="{00000000-0005-0000-0000-000040000000}"/>
    <cellStyle name="Good" xfId="66" xr:uid="{00000000-0005-0000-0000-000041000000}"/>
    <cellStyle name="Heading" xfId="67" xr:uid="{00000000-0005-0000-0000-000042000000}"/>
    <cellStyle name="Heading 1" xfId="68" xr:uid="{00000000-0005-0000-0000-000043000000}"/>
    <cellStyle name="Heading 2" xfId="69" xr:uid="{00000000-0005-0000-0000-000044000000}"/>
    <cellStyle name="Heading 3" xfId="70" xr:uid="{00000000-0005-0000-0000-000045000000}"/>
    <cellStyle name="Heading 4" xfId="71" xr:uid="{00000000-0005-0000-0000-000046000000}"/>
    <cellStyle name="Heading1" xfId="72" xr:uid="{00000000-0005-0000-0000-000047000000}"/>
    <cellStyle name="Hiperłącze 2" xfId="73" xr:uid="{00000000-0005-0000-0000-000048000000}"/>
    <cellStyle name="Input" xfId="74" xr:uid="{00000000-0005-0000-0000-000049000000}"/>
    <cellStyle name="Komórka połączona 2" xfId="76" xr:uid="{00000000-0005-0000-0000-00004A000000}"/>
    <cellStyle name="Komórka połączona 3" xfId="75" xr:uid="{00000000-0005-0000-0000-00004B000000}"/>
    <cellStyle name="Komórka zaznaczona 2" xfId="78" xr:uid="{00000000-0005-0000-0000-00004C000000}"/>
    <cellStyle name="Komórka zaznaczona 3" xfId="77" xr:uid="{00000000-0005-0000-0000-00004D000000}"/>
    <cellStyle name="Linked Cell" xfId="79" xr:uid="{00000000-0005-0000-0000-00004E000000}"/>
    <cellStyle name="Nagłówek 1 2" xfId="81" xr:uid="{00000000-0005-0000-0000-00004F000000}"/>
    <cellStyle name="Nagłówek 1 3" xfId="80" xr:uid="{00000000-0005-0000-0000-000050000000}"/>
    <cellStyle name="Nagłówek 2 2" xfId="83" xr:uid="{00000000-0005-0000-0000-000051000000}"/>
    <cellStyle name="Nagłówek 2 3" xfId="82" xr:uid="{00000000-0005-0000-0000-000052000000}"/>
    <cellStyle name="Nagłówek 3 2" xfId="85" xr:uid="{00000000-0005-0000-0000-000053000000}"/>
    <cellStyle name="Nagłówek 3 3" xfId="84" xr:uid="{00000000-0005-0000-0000-000054000000}"/>
    <cellStyle name="Nagłówek 4 2" xfId="87" xr:uid="{00000000-0005-0000-0000-000055000000}"/>
    <cellStyle name="Nagłówek 4 3" xfId="86" xr:uid="{00000000-0005-0000-0000-000056000000}"/>
    <cellStyle name="Neutral" xfId="88" xr:uid="{00000000-0005-0000-0000-000057000000}"/>
    <cellStyle name="Neutralne 2" xfId="89" xr:uid="{00000000-0005-0000-0000-000058000000}"/>
    <cellStyle name="Normalny" xfId="0" builtinId="0"/>
    <cellStyle name="Normalny 10" xfId="131" xr:uid="{00000000-0005-0000-0000-00005A000000}"/>
    <cellStyle name="Normalny 2" xfId="90" xr:uid="{00000000-0005-0000-0000-00005B000000}"/>
    <cellStyle name="Normalny 2 2" xfId="91" xr:uid="{00000000-0005-0000-0000-00005C000000}"/>
    <cellStyle name="Normalny 3" xfId="92" xr:uid="{00000000-0005-0000-0000-00005D000000}"/>
    <cellStyle name="Normalny 4" xfId="93" xr:uid="{00000000-0005-0000-0000-00005E000000}"/>
    <cellStyle name="Normalny 4 1" xfId="94" xr:uid="{00000000-0005-0000-0000-00005F000000}"/>
    <cellStyle name="Normalny 4 2" xfId="95" xr:uid="{00000000-0005-0000-0000-000060000000}"/>
    <cellStyle name="Normalny 5" xfId="96" xr:uid="{00000000-0005-0000-0000-000061000000}"/>
    <cellStyle name="Normalny 6" xfId="97" xr:uid="{00000000-0005-0000-0000-000062000000}"/>
    <cellStyle name="Normalny 7" xfId="98" xr:uid="{00000000-0005-0000-0000-000063000000}"/>
    <cellStyle name="Normalny 8" xfId="99" xr:uid="{00000000-0005-0000-0000-000064000000}"/>
    <cellStyle name="Normalny 9" xfId="1" xr:uid="{00000000-0005-0000-0000-000065000000}"/>
    <cellStyle name="Note" xfId="100" xr:uid="{00000000-0005-0000-0000-000066000000}"/>
    <cellStyle name="Obliczenia 2" xfId="102" xr:uid="{00000000-0005-0000-0000-000067000000}"/>
    <cellStyle name="Obliczenia 3" xfId="101" xr:uid="{00000000-0005-0000-0000-000068000000}"/>
    <cellStyle name="Output" xfId="103" xr:uid="{00000000-0005-0000-0000-000069000000}"/>
    <cellStyle name="Procentowy 2" xfId="105" xr:uid="{00000000-0005-0000-0000-00006A000000}"/>
    <cellStyle name="Procentowy 2 2" xfId="106" xr:uid="{00000000-0005-0000-0000-00006B000000}"/>
    <cellStyle name="Procentowy 3" xfId="107" xr:uid="{00000000-0005-0000-0000-00006C000000}"/>
    <cellStyle name="Procentowy 4" xfId="108" xr:uid="{00000000-0005-0000-0000-00006D000000}"/>
    <cellStyle name="Procentowy 4 1" xfId="109" xr:uid="{00000000-0005-0000-0000-00006E000000}"/>
    <cellStyle name="Procentowy 5" xfId="110" xr:uid="{00000000-0005-0000-0000-00006F000000}"/>
    <cellStyle name="Procentowy 6" xfId="104" xr:uid="{00000000-0005-0000-0000-000070000000}"/>
    <cellStyle name="Result" xfId="111" xr:uid="{00000000-0005-0000-0000-000071000000}"/>
    <cellStyle name="Result2" xfId="112" xr:uid="{00000000-0005-0000-0000-000072000000}"/>
    <cellStyle name="Suma 2" xfId="114" xr:uid="{00000000-0005-0000-0000-000073000000}"/>
    <cellStyle name="Suma 3" xfId="113" xr:uid="{00000000-0005-0000-0000-000074000000}"/>
    <cellStyle name="Tekst objaśnienia 2" xfId="116" xr:uid="{00000000-0005-0000-0000-000075000000}"/>
    <cellStyle name="Tekst objaśnienia 3" xfId="115" xr:uid="{00000000-0005-0000-0000-000076000000}"/>
    <cellStyle name="Tekst ostrzeżenia 2" xfId="118" xr:uid="{00000000-0005-0000-0000-000077000000}"/>
    <cellStyle name="Tekst ostrzeżenia 3" xfId="117" xr:uid="{00000000-0005-0000-0000-000078000000}"/>
    <cellStyle name="Title" xfId="119" xr:uid="{00000000-0005-0000-0000-000079000000}"/>
    <cellStyle name="Total" xfId="120" xr:uid="{00000000-0005-0000-0000-00007A000000}"/>
    <cellStyle name="Tytuł 2" xfId="122" xr:uid="{00000000-0005-0000-0000-00007B000000}"/>
    <cellStyle name="Tytuł 3" xfId="121" xr:uid="{00000000-0005-0000-0000-00007C000000}"/>
    <cellStyle name="Uwaga 2" xfId="124" xr:uid="{00000000-0005-0000-0000-00007D000000}"/>
    <cellStyle name="Uwaga 3" xfId="123" xr:uid="{00000000-0005-0000-0000-00007E000000}"/>
    <cellStyle name="Walutowy 2" xfId="125" xr:uid="{00000000-0005-0000-0000-00007F000000}"/>
    <cellStyle name="Walutowy 2 2" xfId="126" xr:uid="{00000000-0005-0000-0000-000080000000}"/>
    <cellStyle name="Walutowy 2 2 2" xfId="130" xr:uid="{00000000-0005-0000-0000-000081000000}"/>
    <cellStyle name="Warning Text" xfId="127" xr:uid="{00000000-0005-0000-0000-000082000000}"/>
    <cellStyle name="Złe 2" xfId="128" xr:uid="{00000000-0005-0000-0000-000083000000}"/>
  </cellStyles>
  <dxfs count="323"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248"/>
  <sheetViews>
    <sheetView topLeftCell="A235" zoomScaleNormal="75" zoomScaleSheetLayoutView="75" zoomScalePageLayoutView="75" workbookViewId="0">
      <selection activeCell="F246" sqref="F246:F248"/>
    </sheetView>
  </sheetViews>
  <sheetFormatPr defaultRowHeight="15"/>
  <cols>
    <col min="1" max="3" width="9.7109375" style="1" customWidth="1"/>
    <col min="4" max="4" width="75.28515625" style="1" customWidth="1"/>
    <col min="5" max="6" width="15.7109375" style="1" customWidth="1"/>
    <col min="7" max="7" width="16.140625" style="1" customWidth="1"/>
    <col min="8" max="8" width="15.5703125" style="1" customWidth="1"/>
    <col min="9" max="16384" width="9.140625" style="1"/>
  </cols>
  <sheetData>
    <row r="1" spans="1:8" ht="23.25">
      <c r="A1" s="500" t="s">
        <v>204</v>
      </c>
      <c r="B1" s="500"/>
      <c r="C1" s="500"/>
      <c r="D1" s="500"/>
      <c r="E1" s="500"/>
      <c r="F1" s="501"/>
      <c r="G1" s="501"/>
      <c r="H1" s="501"/>
    </row>
    <row r="2" spans="1:8">
      <c r="A2"/>
      <c r="B2"/>
      <c r="C2"/>
      <c r="D2"/>
      <c r="E2"/>
    </row>
    <row r="3" spans="1:8" ht="61.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11" t="s">
        <v>312</v>
      </c>
      <c r="G3" s="211" t="s">
        <v>313</v>
      </c>
      <c r="H3" s="211" t="s">
        <v>314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12">
        <v>6</v>
      </c>
      <c r="G4" s="212">
        <v>7</v>
      </c>
      <c r="H4" s="212">
        <v>8</v>
      </c>
    </row>
    <row r="5" spans="1:8" ht="69.75" hidden="1" customHeight="1">
      <c r="A5" s="7"/>
      <c r="B5" s="8"/>
      <c r="C5" s="8"/>
      <c r="D5" s="8"/>
      <c r="E5" s="8"/>
    </row>
    <row r="6" spans="1:8" ht="15.75">
      <c r="A6" s="9">
        <v>10</v>
      </c>
      <c r="B6" s="10"/>
      <c r="C6" s="11"/>
      <c r="D6" s="12" t="s">
        <v>5</v>
      </c>
      <c r="E6" s="13">
        <f>E7+E9</f>
        <v>1319591.24</v>
      </c>
      <c r="F6" s="13">
        <f>F7+F9</f>
        <v>0</v>
      </c>
      <c r="G6" s="13">
        <f>G7+G9</f>
        <v>0</v>
      </c>
      <c r="H6" s="13">
        <f>H7+H9</f>
        <v>1319591.24</v>
      </c>
    </row>
    <row r="7" spans="1:8" ht="15.75">
      <c r="A7" s="9"/>
      <c r="B7" s="10">
        <v>1044</v>
      </c>
      <c r="C7" s="11"/>
      <c r="D7" s="12" t="s">
        <v>6</v>
      </c>
      <c r="E7" s="13">
        <f>E8</f>
        <v>1000000</v>
      </c>
      <c r="F7" s="13">
        <f>F8</f>
        <v>0</v>
      </c>
      <c r="G7" s="13">
        <f>G8</f>
        <v>0</v>
      </c>
      <c r="H7" s="13">
        <f>H8</f>
        <v>1000000</v>
      </c>
    </row>
    <row r="8" spans="1:8" ht="47.25">
      <c r="A8" s="9"/>
      <c r="B8" s="10"/>
      <c r="C8" s="11">
        <v>750</v>
      </c>
      <c r="D8" s="12" t="s">
        <v>7</v>
      </c>
      <c r="E8" s="13">
        <f>400000+600000</f>
        <v>1000000</v>
      </c>
      <c r="F8" s="13"/>
      <c r="G8" s="13"/>
      <c r="H8" s="13">
        <f>E8+F8-G8</f>
        <v>1000000</v>
      </c>
    </row>
    <row r="9" spans="1:8" ht="15.75">
      <c r="A9" s="9"/>
      <c r="B9" s="10">
        <v>1095</v>
      </c>
      <c r="C9" s="11"/>
      <c r="D9" s="12" t="s">
        <v>8</v>
      </c>
      <c r="E9" s="13">
        <f>E10</f>
        <v>319591.24</v>
      </c>
      <c r="F9" s="13">
        <f>F10</f>
        <v>0</v>
      </c>
      <c r="G9" s="13">
        <f>G10</f>
        <v>0</v>
      </c>
      <c r="H9" s="13">
        <f>H10</f>
        <v>319591.24</v>
      </c>
    </row>
    <row r="10" spans="1:8" ht="47.25">
      <c r="A10" s="9"/>
      <c r="B10" s="10"/>
      <c r="C10" s="11">
        <v>2010</v>
      </c>
      <c r="D10" s="12" t="s">
        <v>9</v>
      </c>
      <c r="E10" s="13">
        <f>150482.09+169109.15</f>
        <v>319591.24</v>
      </c>
      <c r="F10" s="13"/>
      <c r="G10" s="13"/>
      <c r="H10" s="13">
        <f>E10+F10-G10</f>
        <v>319591.24</v>
      </c>
    </row>
    <row r="11" spans="1:8" ht="15.75">
      <c r="A11" s="9">
        <v>20</v>
      </c>
      <c r="B11" s="10"/>
      <c r="C11" s="11"/>
      <c r="D11" s="12" t="s">
        <v>10</v>
      </c>
      <c r="E11" s="13">
        <f>E12</f>
        <v>1000</v>
      </c>
      <c r="F11" s="13">
        <f t="shared" ref="F11:H12" si="0">F12</f>
        <v>0</v>
      </c>
      <c r="G11" s="13">
        <f t="shared" si="0"/>
        <v>0</v>
      </c>
      <c r="H11" s="13">
        <f t="shared" si="0"/>
        <v>1000</v>
      </c>
    </row>
    <row r="12" spans="1:8" ht="15.75">
      <c r="A12" s="9"/>
      <c r="B12" s="10">
        <v>2001</v>
      </c>
      <c r="C12" s="11"/>
      <c r="D12" s="12" t="s">
        <v>11</v>
      </c>
      <c r="E12" s="13">
        <f>E13</f>
        <v>1000</v>
      </c>
      <c r="F12" s="13">
        <f t="shared" si="0"/>
        <v>0</v>
      </c>
      <c r="G12" s="13">
        <f t="shared" si="0"/>
        <v>0</v>
      </c>
      <c r="H12" s="13">
        <f t="shared" si="0"/>
        <v>1000</v>
      </c>
    </row>
    <row r="13" spans="1:8" ht="45" customHeight="1">
      <c r="A13" s="9"/>
      <c r="B13" s="10"/>
      <c r="C13" s="11">
        <v>750</v>
      </c>
      <c r="D13" s="12" t="s">
        <v>7</v>
      </c>
      <c r="E13" s="13">
        <v>1000</v>
      </c>
      <c r="F13" s="13"/>
      <c r="G13" s="13"/>
      <c r="H13" s="13">
        <f>E13+F13-G13</f>
        <v>1000</v>
      </c>
    </row>
    <row r="14" spans="1:8" ht="15.75">
      <c r="A14" s="9">
        <v>600</v>
      </c>
      <c r="B14" s="10"/>
      <c r="C14" s="11"/>
      <c r="D14" s="12" t="s">
        <v>12</v>
      </c>
      <c r="E14" s="13">
        <f>E21+E26+E15+E17+E19+E29</f>
        <v>6278214.0199999996</v>
      </c>
      <c r="F14" s="13">
        <f>F21+F26+F15+F17+F19+F29</f>
        <v>205000</v>
      </c>
      <c r="G14" s="13">
        <f>G21+G26+G15+G17+G19+G29</f>
        <v>0</v>
      </c>
      <c r="H14" s="13">
        <f>H21+H26+H15+H17+H19+H29</f>
        <v>6483214.0199999996</v>
      </c>
    </row>
    <row r="15" spans="1:8" ht="15.75">
      <c r="A15" s="9"/>
      <c r="B15" s="10">
        <v>60001</v>
      </c>
      <c r="C15" s="11"/>
      <c r="D15" s="12" t="s">
        <v>13</v>
      </c>
      <c r="E15" s="13">
        <f>SUM(E16)</f>
        <v>31666</v>
      </c>
      <c r="F15" s="13">
        <f>SUM(F16)</f>
        <v>0</v>
      </c>
      <c r="G15" s="13">
        <f>SUM(G16)</f>
        <v>0</v>
      </c>
      <c r="H15" s="13">
        <f>SUM(H16)</f>
        <v>31666</v>
      </c>
    </row>
    <row r="16" spans="1:8" ht="45" customHeight="1">
      <c r="A16" s="68"/>
      <c r="B16" s="69"/>
      <c r="C16" s="70">
        <v>2910</v>
      </c>
      <c r="D16" s="71" t="s">
        <v>334</v>
      </c>
      <c r="E16" s="72">
        <f>72+31594</f>
        <v>31666</v>
      </c>
      <c r="F16" s="72"/>
      <c r="G16" s="72"/>
      <c r="H16" s="72">
        <f>E16+F16-G16</f>
        <v>31666</v>
      </c>
    </row>
    <row r="17" spans="1:8" ht="15.75">
      <c r="A17" s="9"/>
      <c r="B17" s="10">
        <v>60004</v>
      </c>
      <c r="C17" s="11"/>
      <c r="D17" s="12" t="s">
        <v>14</v>
      </c>
      <c r="E17" s="13">
        <f>SUM(E18)</f>
        <v>14553</v>
      </c>
      <c r="F17" s="13">
        <f>SUM(F18)</f>
        <v>0</v>
      </c>
      <c r="G17" s="13">
        <f>SUM(G18)</f>
        <v>0</v>
      </c>
      <c r="H17" s="13">
        <f>SUM(H18)</f>
        <v>14553</v>
      </c>
    </row>
    <row r="18" spans="1:8" ht="45" customHeight="1">
      <c r="A18" s="68"/>
      <c r="B18" s="69"/>
      <c r="C18" s="70">
        <v>2910</v>
      </c>
      <c r="D18" s="71" t="s">
        <v>334</v>
      </c>
      <c r="E18" s="72">
        <v>14553</v>
      </c>
      <c r="F18" s="72"/>
      <c r="G18" s="72"/>
      <c r="H18" s="72">
        <f>E18+F18-G18</f>
        <v>14553</v>
      </c>
    </row>
    <row r="19" spans="1:8" ht="15.75">
      <c r="A19" s="9"/>
      <c r="B19" s="10">
        <v>60014</v>
      </c>
      <c r="C19" s="11"/>
      <c r="D19" s="12" t="s">
        <v>15</v>
      </c>
      <c r="E19" s="13">
        <f>E20</f>
        <v>200000</v>
      </c>
      <c r="F19" s="13">
        <f>F20</f>
        <v>0</v>
      </c>
      <c r="G19" s="13">
        <f>G20</f>
        <v>0</v>
      </c>
      <c r="H19" s="13">
        <f>H20</f>
        <v>200000</v>
      </c>
    </row>
    <row r="20" spans="1:8" ht="45" customHeight="1">
      <c r="A20" s="68"/>
      <c r="B20" s="69"/>
      <c r="C20" s="11">
        <v>6300</v>
      </c>
      <c r="D20" s="12" t="s">
        <v>17</v>
      </c>
      <c r="E20" s="72">
        <v>200000</v>
      </c>
      <c r="F20" s="72"/>
      <c r="G20" s="72"/>
      <c r="H20" s="72">
        <f>E20+F20-G20</f>
        <v>200000</v>
      </c>
    </row>
    <row r="21" spans="1:8" ht="15.75">
      <c r="A21" s="9"/>
      <c r="B21" s="10">
        <v>60016</v>
      </c>
      <c r="C21" s="11"/>
      <c r="D21" s="12" t="s">
        <v>16</v>
      </c>
      <c r="E21" s="13">
        <f>SUM(E22:E25)</f>
        <v>5680626.0199999996</v>
      </c>
      <c r="F21" s="13">
        <f>SUM(F22:F25)</f>
        <v>205000</v>
      </c>
      <c r="G21" s="13">
        <f>SUM(G22:G25)</f>
        <v>0</v>
      </c>
      <c r="H21" s="13">
        <f>SUM(H22:H25)</f>
        <v>5885626.0199999996</v>
      </c>
    </row>
    <row r="22" spans="1:8" ht="31.5">
      <c r="A22" s="9"/>
      <c r="B22" s="10"/>
      <c r="C22" s="11">
        <v>620</v>
      </c>
      <c r="D22" s="12" t="s">
        <v>351</v>
      </c>
      <c r="E22" s="13">
        <v>500000</v>
      </c>
      <c r="F22" s="13"/>
      <c r="G22" s="13"/>
      <c r="H22" s="13">
        <f>E22+F22-G22</f>
        <v>500000</v>
      </c>
    </row>
    <row r="23" spans="1:8" ht="29.25" customHeight="1">
      <c r="A23" s="9"/>
      <c r="B23" s="10"/>
      <c r="C23" s="11">
        <v>6290</v>
      </c>
      <c r="D23" s="12" t="s">
        <v>207</v>
      </c>
      <c r="E23" s="13">
        <f>4992138+4978835+374279-7006133</f>
        <v>3339119</v>
      </c>
      <c r="F23" s="13">
        <v>205000</v>
      </c>
      <c r="G23" s="13"/>
      <c r="H23" s="13">
        <f>E23+F23-G23</f>
        <v>3544119</v>
      </c>
    </row>
    <row r="24" spans="1:8" ht="29.25" customHeight="1">
      <c r="A24" s="9"/>
      <c r="B24" s="10"/>
      <c r="C24" s="11">
        <v>6370</v>
      </c>
      <c r="D24" s="12" t="s">
        <v>187</v>
      </c>
      <c r="E24" s="13">
        <f>3000000-1159192.98</f>
        <v>1840807.02</v>
      </c>
      <c r="F24" s="13"/>
      <c r="G24" s="13"/>
      <c r="H24" s="13">
        <f>E24+F24-G24</f>
        <v>1840807.02</v>
      </c>
    </row>
    <row r="25" spans="1:8" ht="15.75">
      <c r="A25" s="9"/>
      <c r="B25" s="10"/>
      <c r="C25" s="11">
        <v>920</v>
      </c>
      <c r="D25" s="12" t="s">
        <v>20</v>
      </c>
      <c r="E25" s="13">
        <f>500+200</f>
        <v>700</v>
      </c>
      <c r="F25" s="13"/>
      <c r="G25" s="13"/>
      <c r="H25" s="13">
        <f>E25+F25-G25</f>
        <v>700</v>
      </c>
    </row>
    <row r="26" spans="1:8" ht="15.75">
      <c r="A26" s="9"/>
      <c r="B26" s="10">
        <v>60020</v>
      </c>
      <c r="C26" s="11"/>
      <c r="D26" s="12" t="s">
        <v>192</v>
      </c>
      <c r="E26" s="13">
        <f>SUM(E27:E28)</f>
        <v>100050</v>
      </c>
      <c r="F26" s="13">
        <f>SUM(F27:F28)</f>
        <v>0</v>
      </c>
      <c r="G26" s="13">
        <f>SUM(G27:G28)</f>
        <v>0</v>
      </c>
      <c r="H26" s="13">
        <f>SUM(H27:H28)</f>
        <v>100050</v>
      </c>
    </row>
    <row r="27" spans="1:8" ht="28.5" customHeight="1">
      <c r="A27" s="9"/>
      <c r="B27" s="10"/>
      <c r="C27" s="11">
        <v>490</v>
      </c>
      <c r="D27" s="12" t="s">
        <v>51</v>
      </c>
      <c r="E27" s="13">
        <v>100000</v>
      </c>
      <c r="F27" s="13"/>
      <c r="G27" s="13"/>
      <c r="H27" s="13">
        <f>E27+F27-G27</f>
        <v>100000</v>
      </c>
    </row>
    <row r="28" spans="1:8" ht="15.75">
      <c r="A28" s="9"/>
      <c r="B28" s="10"/>
      <c r="C28" s="11">
        <v>920</v>
      </c>
      <c r="D28" s="12" t="s">
        <v>20</v>
      </c>
      <c r="E28" s="13">
        <v>50</v>
      </c>
      <c r="F28" s="13"/>
      <c r="G28" s="13"/>
      <c r="H28" s="13">
        <f>E28+F28-G28</f>
        <v>50</v>
      </c>
    </row>
    <row r="29" spans="1:8" ht="15.75">
      <c r="A29" s="68"/>
      <c r="B29" s="69">
        <v>60095</v>
      </c>
      <c r="C29" s="70"/>
      <c r="D29" s="71" t="s">
        <v>8</v>
      </c>
      <c r="E29" s="72">
        <f>SUM(E30)</f>
        <v>251319</v>
      </c>
      <c r="F29" s="72">
        <f>SUM(F30)</f>
        <v>0</v>
      </c>
      <c r="G29" s="72">
        <f>SUM(G30)</f>
        <v>0</v>
      </c>
      <c r="H29" s="72">
        <f>SUM(H30)</f>
        <v>251319</v>
      </c>
    </row>
    <row r="30" spans="1:8" ht="60.75" customHeight="1">
      <c r="A30" s="68"/>
      <c r="B30" s="69"/>
      <c r="C30" s="70">
        <v>6207</v>
      </c>
      <c r="D30" s="71" t="s">
        <v>392</v>
      </c>
      <c r="E30" s="72">
        <v>251319</v>
      </c>
      <c r="F30" s="391"/>
      <c r="G30" s="73"/>
      <c r="H30" s="73">
        <f>E30+F30-G30</f>
        <v>251319</v>
      </c>
    </row>
    <row r="31" spans="1:8" ht="15.75">
      <c r="A31" s="9">
        <v>700</v>
      </c>
      <c r="B31" s="10"/>
      <c r="C31" s="11"/>
      <c r="D31" s="12" t="s">
        <v>18</v>
      </c>
      <c r="E31" s="13">
        <f>E36+E43+E46+E32</f>
        <v>4122974</v>
      </c>
      <c r="F31" s="13">
        <f>F36+F43+F46+F32</f>
        <v>0</v>
      </c>
      <c r="G31" s="13">
        <f>G36+G43+G46+G32</f>
        <v>205000</v>
      </c>
      <c r="H31" s="13">
        <f>H36+H43+H46+H32</f>
        <v>3917974</v>
      </c>
    </row>
    <row r="32" spans="1:8" ht="15.75">
      <c r="A32" s="68"/>
      <c r="B32" s="69">
        <v>70004</v>
      </c>
      <c r="C32" s="70"/>
      <c r="D32" s="71" t="s">
        <v>335</v>
      </c>
      <c r="E32" s="72">
        <f>SUM(E33:E35)</f>
        <v>1714278</v>
      </c>
      <c r="F32" s="72">
        <f>SUM(F33:F35)</f>
        <v>0</v>
      </c>
      <c r="G32" s="72">
        <f>SUM(G33:G35)</f>
        <v>0</v>
      </c>
      <c r="H32" s="72">
        <f>SUM(H33:H35)</f>
        <v>1714278</v>
      </c>
    </row>
    <row r="33" spans="1:8" ht="15.75">
      <c r="A33" s="68"/>
      <c r="B33" s="69"/>
      <c r="C33" s="70">
        <v>690</v>
      </c>
      <c r="D33" s="71" t="s">
        <v>19</v>
      </c>
      <c r="E33" s="72">
        <f>143+500+1000</f>
        <v>1643</v>
      </c>
      <c r="F33" s="72"/>
      <c r="G33" s="72"/>
      <c r="H33" s="72">
        <f>E33+F33-G33</f>
        <v>1643</v>
      </c>
    </row>
    <row r="34" spans="1:8" ht="47.25">
      <c r="A34" s="68"/>
      <c r="B34" s="69"/>
      <c r="C34" s="11">
        <v>750</v>
      </c>
      <c r="D34" s="12" t="s">
        <v>7</v>
      </c>
      <c r="E34" s="72">
        <f>1230+1207000</f>
        <v>1208230</v>
      </c>
      <c r="F34" s="72"/>
      <c r="G34" s="72"/>
      <c r="H34" s="72">
        <f>E34+F34-G34</f>
        <v>1208230</v>
      </c>
    </row>
    <row r="35" spans="1:8" ht="15.75">
      <c r="A35" s="68"/>
      <c r="B35" s="69"/>
      <c r="C35" s="11">
        <v>920</v>
      </c>
      <c r="D35" s="12" t="s">
        <v>20</v>
      </c>
      <c r="E35" s="72">
        <f>405+504000</f>
        <v>504405</v>
      </c>
      <c r="F35" s="72"/>
      <c r="G35" s="72"/>
      <c r="H35" s="72">
        <f>E35+F35-G35</f>
        <v>504405</v>
      </c>
    </row>
    <row r="36" spans="1:8" ht="15.75">
      <c r="A36" s="9"/>
      <c r="B36" s="10">
        <v>70005</v>
      </c>
      <c r="C36" s="11"/>
      <c r="D36" s="12" t="s">
        <v>21</v>
      </c>
      <c r="E36" s="13">
        <f>SUM(E37:E42)</f>
        <v>1856270</v>
      </c>
      <c r="F36" s="13">
        <f>SUM(F37:F42)</f>
        <v>0</v>
      </c>
      <c r="G36" s="13">
        <f>SUM(G37:G42)</f>
        <v>205000</v>
      </c>
      <c r="H36" s="13">
        <f>SUM(H37:H42)</f>
        <v>1651270</v>
      </c>
    </row>
    <row r="37" spans="1:8" ht="15.75">
      <c r="A37" s="9"/>
      <c r="B37" s="10"/>
      <c r="C37" s="70">
        <v>470</v>
      </c>
      <c r="D37" s="71" t="s">
        <v>336</v>
      </c>
      <c r="E37" s="13">
        <v>48750</v>
      </c>
      <c r="F37" s="13"/>
      <c r="G37" s="13"/>
      <c r="H37" s="13">
        <f t="shared" ref="H37:H42" si="1">E37+F37-G37</f>
        <v>48750</v>
      </c>
    </row>
    <row r="38" spans="1:8" ht="15.75">
      <c r="A38" s="9"/>
      <c r="B38" s="10"/>
      <c r="C38" s="11">
        <v>550</v>
      </c>
      <c r="D38" s="12" t="s">
        <v>22</v>
      </c>
      <c r="E38" s="13">
        <f>60000+4000</f>
        <v>64000</v>
      </c>
      <c r="F38" s="13"/>
      <c r="G38" s="13"/>
      <c r="H38" s="13">
        <f t="shared" si="1"/>
        <v>64000</v>
      </c>
    </row>
    <row r="39" spans="1:8" ht="47.25">
      <c r="A39" s="9"/>
      <c r="B39" s="10"/>
      <c r="C39" s="11">
        <v>750</v>
      </c>
      <c r="D39" s="12" t="s">
        <v>7</v>
      </c>
      <c r="E39" s="13">
        <f>1000000+150000</f>
        <v>1150000</v>
      </c>
      <c r="F39" s="13"/>
      <c r="G39" s="13"/>
      <c r="H39" s="13">
        <f t="shared" si="1"/>
        <v>1150000</v>
      </c>
    </row>
    <row r="40" spans="1:8" ht="28.5" customHeight="1">
      <c r="A40" s="9"/>
      <c r="B40" s="10"/>
      <c r="C40" s="11">
        <v>760</v>
      </c>
      <c r="D40" s="12" t="s">
        <v>23</v>
      </c>
      <c r="E40" s="13">
        <v>2000</v>
      </c>
      <c r="F40" s="13"/>
      <c r="G40" s="13"/>
      <c r="H40" s="13">
        <f t="shared" si="1"/>
        <v>2000</v>
      </c>
    </row>
    <row r="41" spans="1:8" ht="28.5" customHeight="1">
      <c r="A41" s="9"/>
      <c r="B41" s="10"/>
      <c r="C41" s="11">
        <v>770</v>
      </c>
      <c r="D41" s="12" t="s">
        <v>449</v>
      </c>
      <c r="E41" s="13">
        <f>270000+315000</f>
        <v>585000</v>
      </c>
      <c r="F41" s="13"/>
      <c r="G41" s="13">
        <v>205000</v>
      </c>
      <c r="H41" s="13">
        <f t="shared" si="1"/>
        <v>380000</v>
      </c>
    </row>
    <row r="42" spans="1:8" ht="15.75">
      <c r="A42" s="9"/>
      <c r="B42" s="10"/>
      <c r="C42" s="11">
        <v>920</v>
      </c>
      <c r="D42" s="12" t="s">
        <v>20</v>
      </c>
      <c r="E42" s="13">
        <f>1720+1800+3000</f>
        <v>6520</v>
      </c>
      <c r="F42" s="13"/>
      <c r="G42" s="13"/>
      <c r="H42" s="13">
        <f t="shared" si="1"/>
        <v>6520</v>
      </c>
    </row>
    <row r="43" spans="1:8" ht="15.75">
      <c r="A43" s="9"/>
      <c r="B43" s="10">
        <v>70007</v>
      </c>
      <c r="C43" s="11"/>
      <c r="D43" s="12" t="s">
        <v>24</v>
      </c>
      <c r="E43" s="13">
        <f>SUM(E44:E45)</f>
        <v>351151</v>
      </c>
      <c r="F43" s="13">
        <f>SUM(F44:F45)</f>
        <v>0</v>
      </c>
      <c r="G43" s="13">
        <f>SUM(G44:G45)</f>
        <v>0</v>
      </c>
      <c r="H43" s="13">
        <f>SUM(H44:H45)</f>
        <v>351151</v>
      </c>
    </row>
    <row r="44" spans="1:8" ht="47.25">
      <c r="A44" s="9"/>
      <c r="B44" s="10"/>
      <c r="C44" s="11">
        <v>750</v>
      </c>
      <c r="D44" s="12" t="s">
        <v>7</v>
      </c>
      <c r="E44" s="13">
        <v>350000</v>
      </c>
      <c r="F44" s="13"/>
      <c r="G44" s="13"/>
      <c r="H44" s="13">
        <f>E44+F44-G44</f>
        <v>350000</v>
      </c>
    </row>
    <row r="45" spans="1:8" ht="15.75">
      <c r="A45" s="9"/>
      <c r="B45" s="10"/>
      <c r="C45" s="11">
        <v>920</v>
      </c>
      <c r="D45" s="12" t="s">
        <v>20</v>
      </c>
      <c r="E45" s="13">
        <f>343+308+500</f>
        <v>1151</v>
      </c>
      <c r="F45" s="13"/>
      <c r="G45" s="13"/>
      <c r="H45" s="13">
        <f>E45+F45-G45</f>
        <v>1151</v>
      </c>
    </row>
    <row r="46" spans="1:8" ht="15.75">
      <c r="A46" s="9"/>
      <c r="B46" s="10">
        <v>70095</v>
      </c>
      <c r="C46" s="11"/>
      <c r="D46" s="12" t="s">
        <v>8</v>
      </c>
      <c r="E46" s="13">
        <f>SUM(E47:E48)</f>
        <v>201275</v>
      </c>
      <c r="F46" s="13">
        <f>SUM(F47:F48)</f>
        <v>0</v>
      </c>
      <c r="G46" s="13">
        <f>SUM(G47:G48)</f>
        <v>0</v>
      </c>
      <c r="H46" s="13">
        <f>SUM(H47:H48)</f>
        <v>201275</v>
      </c>
    </row>
    <row r="47" spans="1:8" ht="15.75">
      <c r="A47" s="9"/>
      <c r="B47" s="10"/>
      <c r="C47" s="11">
        <v>830</v>
      </c>
      <c r="D47" s="12" t="s">
        <v>25</v>
      </c>
      <c r="E47" s="13">
        <f>150000+50000</f>
        <v>200000</v>
      </c>
      <c r="F47" s="13"/>
      <c r="G47" s="13"/>
      <c r="H47" s="13">
        <f>E47+F47-G47</f>
        <v>200000</v>
      </c>
    </row>
    <row r="48" spans="1:8" ht="15.75">
      <c r="A48" s="9"/>
      <c r="B48" s="10"/>
      <c r="C48" s="11">
        <v>920</v>
      </c>
      <c r="D48" s="12" t="s">
        <v>20</v>
      </c>
      <c r="E48" s="13">
        <f>175+600+500</f>
        <v>1275</v>
      </c>
      <c r="F48" s="13"/>
      <c r="G48" s="13"/>
      <c r="H48" s="13">
        <f>E48+F48-G48</f>
        <v>1275</v>
      </c>
    </row>
    <row r="49" spans="1:8" ht="15.75">
      <c r="A49" s="9">
        <v>750</v>
      </c>
      <c r="B49" s="10"/>
      <c r="C49" s="11"/>
      <c r="D49" s="12" t="s">
        <v>28</v>
      </c>
      <c r="E49" s="13">
        <f>E50+E53+E56</f>
        <v>2081197.98</v>
      </c>
      <c r="F49" s="13">
        <f>F50+F53+F56</f>
        <v>8431.01</v>
      </c>
      <c r="G49" s="13">
        <f>G50+G53+G56</f>
        <v>323693</v>
      </c>
      <c r="H49" s="13">
        <f>H50+H53+H56</f>
        <v>1765935.99</v>
      </c>
    </row>
    <row r="50" spans="1:8" ht="15.75">
      <c r="A50" s="9"/>
      <c r="B50" s="10">
        <v>75011</v>
      </c>
      <c r="C50" s="11"/>
      <c r="D50" s="12" t="s">
        <v>29</v>
      </c>
      <c r="E50" s="13">
        <f>SUM(E51:E52)</f>
        <v>462604</v>
      </c>
      <c r="F50" s="13">
        <f>SUM(F51:F52)</f>
        <v>6000</v>
      </c>
      <c r="G50" s="13">
        <f>SUM(G51:G52)</f>
        <v>0</v>
      </c>
      <c r="H50" s="13">
        <f>SUM(H51:H52)</f>
        <v>468604</v>
      </c>
    </row>
    <row r="51" spans="1:8" ht="45.75" customHeight="1">
      <c r="A51" s="9"/>
      <c r="B51" s="10"/>
      <c r="C51" s="11">
        <v>2010</v>
      </c>
      <c r="D51" s="12" t="s">
        <v>9</v>
      </c>
      <c r="E51" s="13">
        <f>300841+91065+22396+5746+42506</f>
        <v>462554</v>
      </c>
      <c r="F51" s="13">
        <v>6000</v>
      </c>
      <c r="G51" s="13"/>
      <c r="H51" s="13">
        <f>E51+F51-G51</f>
        <v>468554</v>
      </c>
    </row>
    <row r="52" spans="1:8" ht="31.5">
      <c r="A52" s="9"/>
      <c r="B52" s="10"/>
      <c r="C52" s="11">
        <v>2360</v>
      </c>
      <c r="D52" s="12" t="s">
        <v>341</v>
      </c>
      <c r="E52" s="13">
        <v>50</v>
      </c>
      <c r="F52" s="13"/>
      <c r="G52" s="13"/>
      <c r="H52" s="13">
        <f>E52+F52-G52</f>
        <v>50</v>
      </c>
    </row>
    <row r="53" spans="1:8" ht="15.75">
      <c r="A53" s="9"/>
      <c r="B53" s="10">
        <v>75023</v>
      </c>
      <c r="C53" s="11"/>
      <c r="D53" s="12" t="s">
        <v>30</v>
      </c>
      <c r="E53" s="13">
        <f>SUM(E54:E55)</f>
        <v>552848</v>
      </c>
      <c r="F53" s="13">
        <f>SUM(F54:F55)</f>
        <v>0</v>
      </c>
      <c r="G53" s="13">
        <f>SUM(G54:G55)</f>
        <v>0</v>
      </c>
      <c r="H53" s="13">
        <f>SUM(H54:H55)</f>
        <v>552848</v>
      </c>
    </row>
    <row r="54" spans="1:8" ht="15.75">
      <c r="A54" s="9"/>
      <c r="B54" s="10"/>
      <c r="C54" s="70">
        <v>940</v>
      </c>
      <c r="D54" s="71" t="s">
        <v>337</v>
      </c>
      <c r="E54" s="13">
        <v>325848</v>
      </c>
      <c r="F54" s="13"/>
      <c r="G54" s="13"/>
      <c r="H54" s="13">
        <f>E54+F54-G54</f>
        <v>325848</v>
      </c>
    </row>
    <row r="55" spans="1:8" ht="15.75">
      <c r="A55" s="9"/>
      <c r="B55" s="10"/>
      <c r="C55" s="11">
        <v>970</v>
      </c>
      <c r="D55" s="12" t="s">
        <v>31</v>
      </c>
      <c r="E55" s="13">
        <f>100000+47000+80000</f>
        <v>227000</v>
      </c>
      <c r="F55" s="13"/>
      <c r="G55" s="13"/>
      <c r="H55" s="13">
        <f>E55+F55-G55</f>
        <v>227000</v>
      </c>
    </row>
    <row r="56" spans="1:8" ht="15.75">
      <c r="A56" s="9"/>
      <c r="B56" s="10">
        <v>75095</v>
      </c>
      <c r="C56" s="11"/>
      <c r="D56" s="12" t="s">
        <v>8</v>
      </c>
      <c r="E56" s="13">
        <f>SUM(E57:E60)</f>
        <v>1065745.98</v>
      </c>
      <c r="F56" s="13">
        <f>SUM(F57:F60)</f>
        <v>2431.0100000000002</v>
      </c>
      <c r="G56" s="13">
        <f>SUM(G57:G60)</f>
        <v>323693</v>
      </c>
      <c r="H56" s="13">
        <f>SUM(H57:H60)</f>
        <v>744483.99</v>
      </c>
    </row>
    <row r="57" spans="1:8" ht="28.5" customHeight="1">
      <c r="A57" s="9"/>
      <c r="B57" s="10"/>
      <c r="C57" s="46">
        <v>2100</v>
      </c>
      <c r="D57" s="47" t="s">
        <v>317</v>
      </c>
      <c r="E57" s="13">
        <f>31.38+925.04+766.49+2304.69+2252.6+1640.78</f>
        <v>7920.98</v>
      </c>
      <c r="F57" s="13">
        <f>1119.34+1311.67</f>
        <v>2431.0100000000002</v>
      </c>
      <c r="G57" s="13"/>
      <c r="H57" s="161">
        <f>E57+F57-G57</f>
        <v>10351.99</v>
      </c>
    </row>
    <row r="58" spans="1:8" ht="60.75" customHeight="1">
      <c r="A58" s="9"/>
      <c r="B58" s="10"/>
      <c r="C58" s="46">
        <v>6207</v>
      </c>
      <c r="D58" s="12" t="s">
        <v>392</v>
      </c>
      <c r="E58" s="13">
        <v>756500</v>
      </c>
      <c r="F58" s="13"/>
      <c r="G58" s="13">
        <f>529550-271307</f>
        <v>258243</v>
      </c>
      <c r="H58" s="161">
        <f>E58+F58-G58</f>
        <v>498257</v>
      </c>
    </row>
    <row r="59" spans="1:8" ht="60" customHeight="1">
      <c r="A59" s="9"/>
      <c r="B59" s="10"/>
      <c r="C59" s="46">
        <v>6209</v>
      </c>
      <c r="D59" s="12" t="s">
        <v>392</v>
      </c>
      <c r="E59" s="13">
        <v>93500</v>
      </c>
      <c r="F59" s="13"/>
      <c r="G59" s="13">
        <v>65450</v>
      </c>
      <c r="H59" s="161">
        <f>E59+F59-G59</f>
        <v>28050</v>
      </c>
    </row>
    <row r="60" spans="1:8" ht="63">
      <c r="A60" s="9"/>
      <c r="B60" s="121"/>
      <c r="C60" s="122">
        <v>6257</v>
      </c>
      <c r="D60" s="167" t="s">
        <v>27</v>
      </c>
      <c r="E60" s="161">
        <f>756500+207825-756500</f>
        <v>207825</v>
      </c>
      <c r="F60" s="161"/>
      <c r="G60" s="161"/>
      <c r="H60" s="161">
        <f>E60+F60-G60</f>
        <v>207825</v>
      </c>
    </row>
    <row r="61" spans="1:8" ht="28.5" customHeight="1">
      <c r="A61" s="9">
        <v>751</v>
      </c>
      <c r="B61" s="10"/>
      <c r="C61" s="11"/>
      <c r="D61" s="12" t="s">
        <v>32</v>
      </c>
      <c r="E61" s="13">
        <f>E62+E64+E66</f>
        <v>446581</v>
      </c>
      <c r="F61" s="13">
        <f>F62+F64+F66</f>
        <v>0</v>
      </c>
      <c r="G61" s="13">
        <f>G62+G64+G66</f>
        <v>0</v>
      </c>
      <c r="H61" s="13">
        <f>H62+H64+H66</f>
        <v>446581</v>
      </c>
    </row>
    <row r="62" spans="1:8" ht="17.25" customHeight="1">
      <c r="A62" s="9"/>
      <c r="B62" s="10">
        <v>75101</v>
      </c>
      <c r="C62" s="11"/>
      <c r="D62" s="12" t="s">
        <v>33</v>
      </c>
      <c r="E62" s="13">
        <f>E63</f>
        <v>5849</v>
      </c>
      <c r="F62" s="13">
        <f>F63</f>
        <v>0</v>
      </c>
      <c r="G62" s="13">
        <f>G63</f>
        <v>0</v>
      </c>
      <c r="H62" s="13">
        <f>H63</f>
        <v>5849</v>
      </c>
    </row>
    <row r="63" spans="1:8" ht="45.75" customHeight="1">
      <c r="A63" s="9"/>
      <c r="B63" s="10"/>
      <c r="C63" s="11">
        <v>2010</v>
      </c>
      <c r="D63" s="12" t="s">
        <v>9</v>
      </c>
      <c r="E63" s="13">
        <v>5849</v>
      </c>
      <c r="F63" s="13"/>
      <c r="G63" s="13"/>
      <c r="H63" s="13">
        <f>E63+F63-G63</f>
        <v>5849</v>
      </c>
    </row>
    <row r="64" spans="1:8" ht="45.75" customHeight="1">
      <c r="A64" s="68"/>
      <c r="B64" s="69">
        <v>75109</v>
      </c>
      <c r="C64" s="70"/>
      <c r="D64" s="71" t="s">
        <v>344</v>
      </c>
      <c r="E64" s="72">
        <f>E65</f>
        <v>316703</v>
      </c>
      <c r="F64" s="72">
        <f t="shared" ref="F64:H66" si="2">F65</f>
        <v>0</v>
      </c>
      <c r="G64" s="72">
        <f t="shared" si="2"/>
        <v>0</v>
      </c>
      <c r="H64" s="72">
        <f t="shared" si="2"/>
        <v>316703</v>
      </c>
    </row>
    <row r="65" spans="1:8" ht="45" customHeight="1">
      <c r="A65" s="9"/>
      <c r="B65" s="10"/>
      <c r="C65" s="11">
        <v>2010</v>
      </c>
      <c r="D65" s="12" t="s">
        <v>9</v>
      </c>
      <c r="E65" s="13">
        <f>95111+121000+100792+2660-2860</f>
        <v>316703</v>
      </c>
      <c r="F65" s="13"/>
      <c r="G65" s="13"/>
      <c r="H65" s="72">
        <f>E65+F65-G65</f>
        <v>316703</v>
      </c>
    </row>
    <row r="66" spans="1:8" ht="15.75">
      <c r="A66" s="68"/>
      <c r="B66" s="69">
        <v>75113</v>
      </c>
      <c r="C66" s="70"/>
      <c r="D66" s="71" t="s">
        <v>393</v>
      </c>
      <c r="E66" s="72">
        <f>E67</f>
        <v>124029</v>
      </c>
      <c r="F66" s="72">
        <f t="shared" si="2"/>
        <v>0</v>
      </c>
      <c r="G66" s="72">
        <f t="shared" si="2"/>
        <v>0</v>
      </c>
      <c r="H66" s="72">
        <f t="shared" si="2"/>
        <v>124029</v>
      </c>
    </row>
    <row r="67" spans="1:8" ht="45.75" customHeight="1">
      <c r="A67" s="9"/>
      <c r="B67" s="10"/>
      <c r="C67" s="11">
        <v>2010</v>
      </c>
      <c r="D67" s="12" t="s">
        <v>9</v>
      </c>
      <c r="E67" s="13">
        <f>46829+77200</f>
        <v>124029</v>
      </c>
      <c r="F67" s="13"/>
      <c r="G67" s="13"/>
      <c r="H67" s="72">
        <f>E67+F67-G67</f>
        <v>124029</v>
      </c>
    </row>
    <row r="68" spans="1:8" ht="15.75">
      <c r="A68" s="9">
        <v>754</v>
      </c>
      <c r="B68" s="10"/>
      <c r="C68" s="11"/>
      <c r="D68" s="12" t="s">
        <v>34</v>
      </c>
      <c r="E68" s="13">
        <f>E71+E69</f>
        <v>20000</v>
      </c>
      <c r="F68" s="13">
        <f t="shared" ref="F68:H68" si="3">F71+F69</f>
        <v>50000</v>
      </c>
      <c r="G68" s="13">
        <f t="shared" si="3"/>
        <v>0</v>
      </c>
      <c r="H68" s="13">
        <f t="shared" si="3"/>
        <v>70000</v>
      </c>
    </row>
    <row r="69" spans="1:8" ht="15.75">
      <c r="A69" s="9"/>
      <c r="B69" s="10">
        <v>75412</v>
      </c>
      <c r="C69" s="11"/>
      <c r="D69" s="12" t="s">
        <v>132</v>
      </c>
      <c r="E69" s="13"/>
      <c r="F69" s="13">
        <f>SUM(F70:F75)</f>
        <v>50000</v>
      </c>
      <c r="G69" s="13">
        <f>SUM(G70:G75)</f>
        <v>0</v>
      </c>
      <c r="H69" s="271">
        <f>E69+F69-G69</f>
        <v>50000</v>
      </c>
    </row>
    <row r="70" spans="1:8" ht="31.5">
      <c r="A70" s="9"/>
      <c r="B70" s="10"/>
      <c r="C70" s="70">
        <v>2030</v>
      </c>
      <c r="D70" s="12" t="s">
        <v>65</v>
      </c>
      <c r="E70" s="13"/>
      <c r="F70" s="13">
        <v>50000</v>
      </c>
      <c r="G70" s="13"/>
      <c r="H70" s="13">
        <f>E70+F70-G70</f>
        <v>50000</v>
      </c>
    </row>
    <row r="71" spans="1:8" ht="15.75">
      <c r="A71" s="9"/>
      <c r="B71" s="10">
        <v>75416</v>
      </c>
      <c r="C71" s="11"/>
      <c r="D71" s="12" t="s">
        <v>35</v>
      </c>
      <c r="E71" s="13">
        <f>E72</f>
        <v>20000</v>
      </c>
      <c r="F71" s="13">
        <f t="shared" ref="F71:H71" si="4">F72</f>
        <v>0</v>
      </c>
      <c r="G71" s="13">
        <f t="shared" si="4"/>
        <v>0</v>
      </c>
      <c r="H71" s="13">
        <f t="shared" si="4"/>
        <v>20000</v>
      </c>
    </row>
    <row r="72" spans="1:8" ht="18" customHeight="1">
      <c r="A72" s="9"/>
      <c r="B72" s="10"/>
      <c r="C72" s="11">
        <v>570</v>
      </c>
      <c r="D72" s="12" t="s">
        <v>36</v>
      </c>
      <c r="E72" s="13">
        <v>20000</v>
      </c>
      <c r="F72" s="13"/>
      <c r="G72" s="13"/>
      <c r="H72" s="13">
        <f>E72+F72-G72</f>
        <v>20000</v>
      </c>
    </row>
    <row r="73" spans="1:8" ht="36.75" customHeight="1">
      <c r="A73" s="9">
        <v>756</v>
      </c>
      <c r="B73" s="10"/>
      <c r="C73" s="11"/>
      <c r="D73" s="12" t="s">
        <v>37</v>
      </c>
      <c r="E73" s="13">
        <f>E74+E77+E85+E94+E101</f>
        <v>170166260</v>
      </c>
      <c r="F73" s="13">
        <f>F74+F77+F85+F94+F101</f>
        <v>0</v>
      </c>
      <c r="G73" s="13">
        <f>G74+G77+G85+G94+G101</f>
        <v>0</v>
      </c>
      <c r="H73" s="13">
        <f>H74+H77+H85+H94+H101</f>
        <v>170166260</v>
      </c>
    </row>
    <row r="74" spans="1:8" ht="15.75">
      <c r="A74" s="9"/>
      <c r="B74" s="10">
        <v>75601</v>
      </c>
      <c r="C74" s="11"/>
      <c r="D74" s="12" t="s">
        <v>38</v>
      </c>
      <c r="E74" s="13">
        <f>SUM(E75:E76)</f>
        <v>152400</v>
      </c>
      <c r="F74" s="13">
        <f>SUM(F75:F76)</f>
        <v>0</v>
      </c>
      <c r="G74" s="13">
        <f>SUM(G75:G76)</f>
        <v>0</v>
      </c>
      <c r="H74" s="13">
        <f>SUM(H75:H76)</f>
        <v>152400</v>
      </c>
    </row>
    <row r="75" spans="1:8" ht="28.5" customHeight="1">
      <c r="A75" s="9"/>
      <c r="B75" s="10"/>
      <c r="C75" s="11">
        <v>350</v>
      </c>
      <c r="D75" s="12" t="s">
        <v>39</v>
      </c>
      <c r="E75" s="13">
        <v>150000</v>
      </c>
      <c r="F75" s="13"/>
      <c r="G75" s="13"/>
      <c r="H75" s="13">
        <f>E75+F75-G75</f>
        <v>150000</v>
      </c>
    </row>
    <row r="76" spans="1:8" ht="15.75">
      <c r="A76" s="9"/>
      <c r="B76" s="10"/>
      <c r="C76" s="11">
        <v>910</v>
      </c>
      <c r="D76" s="12" t="s">
        <v>40</v>
      </c>
      <c r="E76" s="13">
        <f>1400+1000</f>
        <v>2400</v>
      </c>
      <c r="F76" s="13"/>
      <c r="G76" s="13"/>
      <c r="H76" s="13">
        <f>E76+F76-G76</f>
        <v>2400</v>
      </c>
    </row>
    <row r="77" spans="1:8" ht="44.25" customHeight="1">
      <c r="A77" s="62"/>
      <c r="B77" s="10">
        <v>75615</v>
      </c>
      <c r="C77" s="11"/>
      <c r="D77" s="12" t="s">
        <v>41</v>
      </c>
      <c r="E77" s="13">
        <f>SUM(E78:E84)</f>
        <v>42759556</v>
      </c>
      <c r="F77" s="13">
        <f>SUM(F78:F84)</f>
        <v>0</v>
      </c>
      <c r="G77" s="13">
        <f>SUM(G78:G84)</f>
        <v>0</v>
      </c>
      <c r="H77" s="13">
        <f>SUM(H78:H84)</f>
        <v>42759556</v>
      </c>
    </row>
    <row r="78" spans="1:8" ht="15.75">
      <c r="A78" s="9"/>
      <c r="B78" s="10"/>
      <c r="C78" s="11">
        <v>310</v>
      </c>
      <c r="D78" s="12" t="s">
        <v>42</v>
      </c>
      <c r="E78" s="13">
        <v>38700000</v>
      </c>
      <c r="F78" s="13"/>
      <c r="G78" s="13"/>
      <c r="H78" s="13">
        <f t="shared" ref="H78:H84" si="5">E78+F78-G78</f>
        <v>38700000</v>
      </c>
    </row>
    <row r="79" spans="1:8" ht="15.75">
      <c r="A79" s="9"/>
      <c r="B79" s="10"/>
      <c r="C79" s="11">
        <v>320</v>
      </c>
      <c r="D79" s="12" t="s">
        <v>43</v>
      </c>
      <c r="E79" s="13">
        <v>40000</v>
      </c>
      <c r="F79" s="13"/>
      <c r="G79" s="13"/>
      <c r="H79" s="13">
        <f t="shared" si="5"/>
        <v>40000</v>
      </c>
    </row>
    <row r="80" spans="1:8" ht="15.75">
      <c r="A80" s="9"/>
      <c r="B80" s="10"/>
      <c r="C80" s="11">
        <v>330</v>
      </c>
      <c r="D80" s="12" t="s">
        <v>44</v>
      </c>
      <c r="E80" s="13">
        <v>30000</v>
      </c>
      <c r="F80" s="13"/>
      <c r="G80" s="13"/>
      <c r="H80" s="13">
        <f t="shared" si="5"/>
        <v>30000</v>
      </c>
    </row>
    <row r="81" spans="1:8" ht="15.75">
      <c r="A81" s="9"/>
      <c r="B81" s="10"/>
      <c r="C81" s="11">
        <v>340</v>
      </c>
      <c r="D81" s="12" t="s">
        <v>45</v>
      </c>
      <c r="E81" s="13">
        <f>2500000+100000</f>
        <v>2600000</v>
      </c>
      <c r="F81" s="13"/>
      <c r="G81" s="13"/>
      <c r="H81" s="13">
        <f t="shared" si="5"/>
        <v>2600000</v>
      </c>
    </row>
    <row r="82" spans="1:8" ht="15.75">
      <c r="A82" s="9"/>
      <c r="B82" s="10"/>
      <c r="C82" s="11">
        <v>500</v>
      </c>
      <c r="D82" s="12" t="s">
        <v>46</v>
      </c>
      <c r="E82" s="13">
        <v>1000000</v>
      </c>
      <c r="F82" s="13"/>
      <c r="G82" s="13"/>
      <c r="H82" s="13">
        <f t="shared" si="5"/>
        <v>1000000</v>
      </c>
    </row>
    <row r="83" spans="1:8" ht="15.75">
      <c r="A83" s="9"/>
      <c r="B83" s="10"/>
      <c r="C83" s="11">
        <v>910</v>
      </c>
      <c r="D83" s="12" t="s">
        <v>40</v>
      </c>
      <c r="E83" s="13">
        <v>50000</v>
      </c>
      <c r="F83" s="13"/>
      <c r="G83" s="13"/>
      <c r="H83" s="13">
        <f t="shared" si="5"/>
        <v>50000</v>
      </c>
    </row>
    <row r="84" spans="1:8" ht="15.75">
      <c r="A84" s="9"/>
      <c r="B84" s="10"/>
      <c r="C84" s="11">
        <v>2680</v>
      </c>
      <c r="D84" s="12" t="s">
        <v>450</v>
      </c>
      <c r="E84" s="13">
        <f>156692+182864</f>
        <v>339556</v>
      </c>
      <c r="F84" s="13"/>
      <c r="G84" s="13"/>
      <c r="H84" s="13">
        <f t="shared" si="5"/>
        <v>339556</v>
      </c>
    </row>
    <row r="85" spans="1:8" ht="43.5" customHeight="1">
      <c r="A85" s="9"/>
      <c r="B85" s="10">
        <v>75616</v>
      </c>
      <c r="C85" s="11"/>
      <c r="D85" s="12" t="s">
        <v>208</v>
      </c>
      <c r="E85" s="13">
        <f>SUM(E86:E93)</f>
        <v>14348200</v>
      </c>
      <c r="F85" s="13">
        <f>SUM(F86:F93)</f>
        <v>0</v>
      </c>
      <c r="G85" s="13">
        <f>SUM(G86:G93)</f>
        <v>0</v>
      </c>
      <c r="H85" s="13">
        <f>SUM(H86:H93)</f>
        <v>14348200</v>
      </c>
    </row>
    <row r="86" spans="1:8" ht="15.75">
      <c r="A86" s="9"/>
      <c r="B86" s="10"/>
      <c r="C86" s="11">
        <v>310</v>
      </c>
      <c r="D86" s="12" t="s">
        <v>42</v>
      </c>
      <c r="E86" s="13">
        <v>9200000</v>
      </c>
      <c r="F86" s="13"/>
      <c r="G86" s="13"/>
      <c r="H86" s="13">
        <f>E86+F86-G86</f>
        <v>9200000</v>
      </c>
    </row>
    <row r="87" spans="1:8" ht="15.75">
      <c r="A87" s="9"/>
      <c r="B87" s="10"/>
      <c r="C87" s="11">
        <v>320</v>
      </c>
      <c r="D87" s="12" t="s">
        <v>43</v>
      </c>
      <c r="E87" s="13">
        <v>380000</v>
      </c>
      <c r="F87" s="13"/>
      <c r="G87" s="13"/>
      <c r="H87" s="13">
        <f t="shared" ref="H87:H93" si="6">E87+F87-G87</f>
        <v>380000</v>
      </c>
    </row>
    <row r="88" spans="1:8" ht="15.75">
      <c r="A88" s="9"/>
      <c r="B88" s="10"/>
      <c r="C88" s="11">
        <v>330</v>
      </c>
      <c r="D88" s="12" t="s">
        <v>44</v>
      </c>
      <c r="E88" s="13">
        <v>1000</v>
      </c>
      <c r="F88" s="13"/>
      <c r="G88" s="13"/>
      <c r="H88" s="13">
        <f t="shared" si="6"/>
        <v>1000</v>
      </c>
    </row>
    <row r="89" spans="1:8" ht="15.75">
      <c r="A89" s="9"/>
      <c r="B89" s="10"/>
      <c r="C89" s="11">
        <v>340</v>
      </c>
      <c r="D89" s="12" t="s">
        <v>45</v>
      </c>
      <c r="E89" s="13">
        <v>750000</v>
      </c>
      <c r="F89" s="13"/>
      <c r="G89" s="13"/>
      <c r="H89" s="13">
        <f t="shared" si="6"/>
        <v>750000</v>
      </c>
    </row>
    <row r="90" spans="1:8" ht="15.75">
      <c r="A90" s="9"/>
      <c r="B90" s="10"/>
      <c r="C90" s="11">
        <v>360</v>
      </c>
      <c r="D90" s="12" t="s">
        <v>47</v>
      </c>
      <c r="E90" s="13">
        <v>150000</v>
      </c>
      <c r="F90" s="13"/>
      <c r="G90" s="13"/>
      <c r="H90" s="13">
        <f t="shared" si="6"/>
        <v>150000</v>
      </c>
    </row>
    <row r="91" spans="1:8" ht="15.75">
      <c r="A91" s="9"/>
      <c r="B91" s="10"/>
      <c r="C91" s="11">
        <v>500</v>
      </c>
      <c r="D91" s="12" t="s">
        <v>46</v>
      </c>
      <c r="E91" s="13">
        <v>3800000</v>
      </c>
      <c r="F91" s="13"/>
      <c r="G91" s="13"/>
      <c r="H91" s="13">
        <f t="shared" si="6"/>
        <v>3800000</v>
      </c>
    </row>
    <row r="92" spans="1:8" ht="15.75" customHeight="1">
      <c r="A92" s="9"/>
      <c r="B92" s="10"/>
      <c r="C92" s="11">
        <v>570</v>
      </c>
      <c r="D92" s="12" t="s">
        <v>36</v>
      </c>
      <c r="E92" s="13">
        <f>1000+1200</f>
        <v>2200</v>
      </c>
      <c r="F92" s="13"/>
      <c r="G92" s="13"/>
      <c r="H92" s="13">
        <f t="shared" si="6"/>
        <v>2200</v>
      </c>
    </row>
    <row r="93" spans="1:8" ht="15.75">
      <c r="A93" s="9"/>
      <c r="B93" s="10"/>
      <c r="C93" s="11">
        <v>910</v>
      </c>
      <c r="D93" s="12" t="s">
        <v>40</v>
      </c>
      <c r="E93" s="13">
        <f>50000+15000</f>
        <v>65000</v>
      </c>
      <c r="F93" s="13"/>
      <c r="G93" s="13"/>
      <c r="H93" s="13">
        <f t="shared" si="6"/>
        <v>65000</v>
      </c>
    </row>
    <row r="94" spans="1:8" ht="31.5">
      <c r="A94" s="9"/>
      <c r="B94" s="10">
        <v>75618</v>
      </c>
      <c r="C94" s="11"/>
      <c r="D94" s="12" t="s">
        <v>48</v>
      </c>
      <c r="E94" s="13">
        <f>SUM(E95:E100)</f>
        <v>1753885</v>
      </c>
      <c r="F94" s="13">
        <f>SUM(F95:F100)</f>
        <v>0</v>
      </c>
      <c r="G94" s="13">
        <f>SUM(G95:G100)</f>
        <v>0</v>
      </c>
      <c r="H94" s="13">
        <f>SUM(H95:H100)</f>
        <v>1753885</v>
      </c>
    </row>
    <row r="95" spans="1:8" ht="29.25" customHeight="1">
      <c r="A95" s="9"/>
      <c r="B95" s="10"/>
      <c r="C95" s="11">
        <v>270</v>
      </c>
      <c r="D95" s="12" t="s">
        <v>189</v>
      </c>
      <c r="E95" s="13">
        <v>246143</v>
      </c>
      <c r="F95" s="13"/>
      <c r="G95" s="13"/>
      <c r="H95" s="13">
        <f t="shared" ref="H95:H100" si="7">E95+F95-G95</f>
        <v>246143</v>
      </c>
    </row>
    <row r="96" spans="1:8" ht="15.75">
      <c r="A96" s="9"/>
      <c r="B96" s="10"/>
      <c r="C96" s="11">
        <v>410</v>
      </c>
      <c r="D96" s="12" t="s">
        <v>49</v>
      </c>
      <c r="E96" s="13">
        <v>120000</v>
      </c>
      <c r="F96" s="13"/>
      <c r="G96" s="13"/>
      <c r="H96" s="13">
        <f t="shared" si="7"/>
        <v>120000</v>
      </c>
    </row>
    <row r="97" spans="1:8" ht="15.75">
      <c r="A97" s="9"/>
      <c r="B97" s="10"/>
      <c r="C97" s="11">
        <v>480</v>
      </c>
      <c r="D97" s="12" t="s">
        <v>50</v>
      </c>
      <c r="E97" s="13">
        <v>880000</v>
      </c>
      <c r="F97" s="13"/>
      <c r="G97" s="13"/>
      <c r="H97" s="13">
        <f t="shared" si="7"/>
        <v>880000</v>
      </c>
    </row>
    <row r="98" spans="1:8" ht="29.25" customHeight="1">
      <c r="A98" s="9"/>
      <c r="B98" s="10"/>
      <c r="C98" s="11">
        <v>490</v>
      </c>
      <c r="D98" s="12" t="s">
        <v>51</v>
      </c>
      <c r="E98" s="13">
        <f>1200000-500000-200000</f>
        <v>500000</v>
      </c>
      <c r="F98" s="13"/>
      <c r="G98" s="13"/>
      <c r="H98" s="13">
        <f t="shared" si="7"/>
        <v>500000</v>
      </c>
    </row>
    <row r="99" spans="1:8" ht="15.75">
      <c r="A99" s="9"/>
      <c r="B99" s="10"/>
      <c r="C99" s="11">
        <v>590</v>
      </c>
      <c r="D99" s="12" t="s">
        <v>338</v>
      </c>
      <c r="E99" s="13">
        <f>1412+3200+1500</f>
        <v>6112</v>
      </c>
      <c r="F99" s="13"/>
      <c r="G99" s="13"/>
      <c r="H99" s="13">
        <f t="shared" si="7"/>
        <v>6112</v>
      </c>
    </row>
    <row r="100" spans="1:8" ht="15.75">
      <c r="A100" s="9"/>
      <c r="B100" s="10"/>
      <c r="C100" s="11">
        <v>920</v>
      </c>
      <c r="D100" s="12" t="s">
        <v>20</v>
      </c>
      <c r="E100" s="13">
        <v>1630</v>
      </c>
      <c r="F100" s="13"/>
      <c r="G100" s="13"/>
      <c r="H100" s="13">
        <f t="shared" si="7"/>
        <v>1630</v>
      </c>
    </row>
    <row r="101" spans="1:8" ht="15.75">
      <c r="A101" s="9"/>
      <c r="B101" s="10">
        <v>75621</v>
      </c>
      <c r="C101" s="11"/>
      <c r="D101" s="12" t="s">
        <v>52</v>
      </c>
      <c r="E101" s="13">
        <f>SUM(E102:E103)</f>
        <v>111152219</v>
      </c>
      <c r="F101" s="13">
        <f>SUM(F102:F103)</f>
        <v>0</v>
      </c>
      <c r="G101" s="13">
        <f>SUM(G102:G103)</f>
        <v>0</v>
      </c>
      <c r="H101" s="13">
        <f>SUM(H102:H103)</f>
        <v>111152219</v>
      </c>
    </row>
    <row r="102" spans="1:8" ht="15.75">
      <c r="A102" s="9"/>
      <c r="B102" s="10"/>
      <c r="C102" s="11">
        <v>10</v>
      </c>
      <c r="D102" s="12" t="s">
        <v>38</v>
      </c>
      <c r="E102" s="13">
        <v>91850528</v>
      </c>
      <c r="F102" s="13"/>
      <c r="G102" s="13"/>
      <c r="H102" s="13">
        <f>E102+F102-G102</f>
        <v>91850528</v>
      </c>
    </row>
    <row r="103" spans="1:8" ht="15.75">
      <c r="A103" s="9"/>
      <c r="B103" s="10"/>
      <c r="C103" s="11">
        <v>20</v>
      </c>
      <c r="D103" s="12" t="s">
        <v>53</v>
      </c>
      <c r="E103" s="13">
        <v>19301691</v>
      </c>
      <c r="F103" s="13"/>
      <c r="G103" s="13"/>
      <c r="H103" s="13">
        <f>E103+F103-G103</f>
        <v>19301691</v>
      </c>
    </row>
    <row r="104" spans="1:8" ht="15.75">
      <c r="A104" s="9">
        <v>758</v>
      </c>
      <c r="B104" s="10"/>
      <c r="C104" s="11"/>
      <c r="D104" s="12" t="s">
        <v>54</v>
      </c>
      <c r="E104" s="13">
        <f>E105+E109+E107</f>
        <v>67285246</v>
      </c>
      <c r="F104" s="13">
        <f>F105+F109+F107</f>
        <v>0</v>
      </c>
      <c r="G104" s="13">
        <f>G105+G109+G107</f>
        <v>0</v>
      </c>
      <c r="H104" s="13">
        <f>H105+H109+H107</f>
        <v>67285246</v>
      </c>
    </row>
    <row r="105" spans="1:8" ht="15.75" customHeight="1">
      <c r="A105" s="9"/>
      <c r="B105" s="10">
        <v>75801</v>
      </c>
      <c r="C105" s="11"/>
      <c r="D105" s="12" t="s">
        <v>55</v>
      </c>
      <c r="E105" s="13">
        <f>SUM(E106)</f>
        <v>64134794</v>
      </c>
      <c r="F105" s="13">
        <f t="shared" ref="F105:H107" si="8">SUM(F106)</f>
        <v>0</v>
      </c>
      <c r="G105" s="13">
        <f t="shared" si="8"/>
        <v>0</v>
      </c>
      <c r="H105" s="13">
        <f t="shared" si="8"/>
        <v>64134794</v>
      </c>
    </row>
    <row r="106" spans="1:8" ht="15.75">
      <c r="A106" s="9"/>
      <c r="B106" s="10"/>
      <c r="C106" s="11">
        <v>2920</v>
      </c>
      <c r="D106" s="12" t="s">
        <v>56</v>
      </c>
      <c r="E106" s="13">
        <f>55847766+8287028</f>
        <v>64134794</v>
      </c>
      <c r="F106" s="13"/>
      <c r="G106" s="13"/>
      <c r="H106" s="13">
        <f>E106+F106-G106</f>
        <v>64134794</v>
      </c>
    </row>
    <row r="107" spans="1:8" ht="17.25" customHeight="1">
      <c r="A107" s="9"/>
      <c r="B107" s="10">
        <v>75806</v>
      </c>
      <c r="C107" s="11"/>
      <c r="D107" s="12" t="s">
        <v>394</v>
      </c>
      <c r="E107" s="13">
        <f>SUM(E108)</f>
        <v>2940452</v>
      </c>
      <c r="F107" s="13">
        <f t="shared" si="8"/>
        <v>0</v>
      </c>
      <c r="G107" s="13">
        <f t="shared" si="8"/>
        <v>0</v>
      </c>
      <c r="H107" s="13">
        <f t="shared" si="8"/>
        <v>2940452</v>
      </c>
    </row>
    <row r="108" spans="1:8" ht="15.75">
      <c r="A108" s="9"/>
      <c r="B108" s="10"/>
      <c r="C108" s="11">
        <v>2920</v>
      </c>
      <c r="D108" s="12" t="s">
        <v>56</v>
      </c>
      <c r="E108" s="13">
        <v>2940452</v>
      </c>
      <c r="F108" s="13"/>
      <c r="G108" s="13"/>
      <c r="H108" s="13">
        <f>E108+F108-G108</f>
        <v>2940452</v>
      </c>
    </row>
    <row r="109" spans="1:8" ht="15.75">
      <c r="A109" s="9"/>
      <c r="B109" s="10">
        <v>75814</v>
      </c>
      <c r="C109" s="11"/>
      <c r="D109" s="12" t="s">
        <v>57</v>
      </c>
      <c r="E109" s="13">
        <f>E110</f>
        <v>210000</v>
      </c>
      <c r="F109" s="13">
        <f>F110</f>
        <v>0</v>
      </c>
      <c r="G109" s="13">
        <f>G110</f>
        <v>0</v>
      </c>
      <c r="H109" s="13">
        <f>H110</f>
        <v>210000</v>
      </c>
    </row>
    <row r="110" spans="1:8" ht="15.75">
      <c r="A110" s="9"/>
      <c r="B110" s="10"/>
      <c r="C110" s="11">
        <v>920</v>
      </c>
      <c r="D110" s="12" t="s">
        <v>20</v>
      </c>
      <c r="E110" s="13">
        <f>60000+50000+100000</f>
        <v>210000</v>
      </c>
      <c r="F110" s="13"/>
      <c r="G110" s="13"/>
      <c r="H110" s="13">
        <f>E110+F110-G110</f>
        <v>210000</v>
      </c>
    </row>
    <row r="111" spans="1:8" ht="15.75">
      <c r="A111" s="9">
        <v>801</v>
      </c>
      <c r="B111" s="10"/>
      <c r="C111" s="11"/>
      <c r="D111" s="12" t="s">
        <v>58</v>
      </c>
      <c r="E111" s="13">
        <f>E112+E123+E126+E132+E137+E140+E134</f>
        <v>14216824.939999999</v>
      </c>
      <c r="F111" s="13">
        <f>F112+F123+F126+F132+F137+F140+F134</f>
        <v>201974.68</v>
      </c>
      <c r="G111" s="13">
        <f>G112+G123+G126+G132+G137+G140+G134</f>
        <v>1078794</v>
      </c>
      <c r="H111" s="13">
        <f>H112+H123+H126+H132+H137+H140+H134</f>
        <v>13340005.619999999</v>
      </c>
    </row>
    <row r="112" spans="1:8" ht="15.75">
      <c r="A112" s="9"/>
      <c r="B112" s="10">
        <v>80101</v>
      </c>
      <c r="C112" s="11"/>
      <c r="D112" s="12" t="s">
        <v>59</v>
      </c>
      <c r="E112" s="13">
        <f>SUM(E113:E122)</f>
        <v>2840152.9899999998</v>
      </c>
      <c r="F112" s="13">
        <f>SUM(F113:F122)</f>
        <v>9648.68</v>
      </c>
      <c r="G112" s="13">
        <f>SUM(G113:G122)</f>
        <v>1064580</v>
      </c>
      <c r="H112" s="13">
        <f>SUM(H113:H122)</f>
        <v>1785221.67</v>
      </c>
    </row>
    <row r="113" spans="1:8" ht="30" customHeight="1">
      <c r="A113" s="9"/>
      <c r="B113" s="10"/>
      <c r="C113" s="11">
        <v>610</v>
      </c>
      <c r="D113" s="12" t="s">
        <v>451</v>
      </c>
      <c r="E113" s="13">
        <f>160+100</f>
        <v>260</v>
      </c>
      <c r="F113" s="13"/>
      <c r="G113" s="13"/>
      <c r="H113" s="13">
        <f t="shared" ref="H113:H122" si="9">E113+F113-G113</f>
        <v>260</v>
      </c>
    </row>
    <row r="114" spans="1:8" ht="15.75">
      <c r="A114" s="9"/>
      <c r="B114" s="10"/>
      <c r="C114" s="11">
        <v>690</v>
      </c>
      <c r="D114" s="12" t="s">
        <v>19</v>
      </c>
      <c r="E114" s="13">
        <f>279+171</f>
        <v>450</v>
      </c>
      <c r="F114" s="13"/>
      <c r="G114" s="13"/>
      <c r="H114" s="13">
        <f t="shared" si="9"/>
        <v>450</v>
      </c>
    </row>
    <row r="115" spans="1:8" ht="15.75">
      <c r="A115" s="9"/>
      <c r="B115" s="10"/>
      <c r="C115" s="11">
        <v>830</v>
      </c>
      <c r="D115" s="12" t="s">
        <v>25</v>
      </c>
      <c r="E115" s="13">
        <f>70000+148000</f>
        <v>218000</v>
      </c>
      <c r="F115" s="13"/>
      <c r="G115" s="13"/>
      <c r="H115" s="13">
        <f t="shared" si="9"/>
        <v>218000</v>
      </c>
    </row>
    <row r="116" spans="1:8" ht="15.75">
      <c r="A116" s="9"/>
      <c r="B116" s="10"/>
      <c r="C116" s="11">
        <v>920</v>
      </c>
      <c r="D116" s="12" t="s">
        <v>20</v>
      </c>
      <c r="E116" s="13">
        <f>126+1502</f>
        <v>1628</v>
      </c>
      <c r="F116" s="13"/>
      <c r="G116" s="13"/>
      <c r="H116" s="13">
        <f t="shared" si="9"/>
        <v>1628</v>
      </c>
    </row>
    <row r="117" spans="1:8" ht="15.75">
      <c r="A117" s="9"/>
      <c r="B117" s="10"/>
      <c r="C117" s="70">
        <v>950</v>
      </c>
      <c r="D117" s="71" t="s">
        <v>395</v>
      </c>
      <c r="E117" s="13">
        <f>4000+220</f>
        <v>4220</v>
      </c>
      <c r="F117" s="13"/>
      <c r="G117" s="13"/>
      <c r="H117" s="13">
        <f t="shared" si="9"/>
        <v>4220</v>
      </c>
    </row>
    <row r="118" spans="1:8" ht="15.75">
      <c r="A118" s="9"/>
      <c r="B118" s="10"/>
      <c r="C118" s="70">
        <v>970</v>
      </c>
      <c r="D118" s="71" t="s">
        <v>31</v>
      </c>
      <c r="E118" s="13">
        <f>1875+36730+28700+74000</f>
        <v>141305</v>
      </c>
      <c r="F118" s="13"/>
      <c r="G118" s="13"/>
      <c r="H118" s="13">
        <f t="shared" si="9"/>
        <v>141305</v>
      </c>
    </row>
    <row r="119" spans="1:8" ht="31.5">
      <c r="A119" s="9"/>
      <c r="B119" s="10"/>
      <c r="C119" s="70">
        <v>2030</v>
      </c>
      <c r="D119" s="12" t="s">
        <v>65</v>
      </c>
      <c r="E119" s="13">
        <v>35000</v>
      </c>
      <c r="F119" s="13"/>
      <c r="G119" s="13"/>
      <c r="H119" s="13">
        <f t="shared" si="9"/>
        <v>35000</v>
      </c>
    </row>
    <row r="120" spans="1:8" ht="42.75" customHeight="1">
      <c r="A120" s="9"/>
      <c r="B120" s="10"/>
      <c r="C120" s="70">
        <v>2700</v>
      </c>
      <c r="D120" s="12" t="s">
        <v>339</v>
      </c>
      <c r="E120" s="13">
        <f>5524.32+3598+25970+5001</f>
        <v>40093.32</v>
      </c>
      <c r="F120" s="13">
        <f>8000+1648.68</f>
        <v>9648.68</v>
      </c>
      <c r="G120" s="13"/>
      <c r="H120" s="13">
        <f t="shared" si="9"/>
        <v>49742</v>
      </c>
    </row>
    <row r="121" spans="1:8" ht="28.5" customHeight="1">
      <c r="A121" s="62"/>
      <c r="B121" s="63"/>
      <c r="C121" s="11">
        <v>6370</v>
      </c>
      <c r="D121" s="12" t="s">
        <v>187</v>
      </c>
      <c r="E121" s="13">
        <f>1000000+2000000-935420</f>
        <v>2064580</v>
      </c>
      <c r="F121" s="13"/>
      <c r="G121" s="13">
        <v>1064580</v>
      </c>
      <c r="H121" s="13">
        <f t="shared" si="9"/>
        <v>1000000</v>
      </c>
    </row>
    <row r="122" spans="1:8" ht="42" customHeight="1">
      <c r="A122" s="62"/>
      <c r="B122" s="63"/>
      <c r="C122" s="11">
        <v>6090</v>
      </c>
      <c r="D122" s="12" t="s">
        <v>209</v>
      </c>
      <c r="E122" s="13">
        <v>334616.67</v>
      </c>
      <c r="F122" s="13"/>
      <c r="G122" s="13"/>
      <c r="H122" s="13">
        <f t="shared" si="9"/>
        <v>334616.67</v>
      </c>
    </row>
    <row r="123" spans="1:8" ht="15.75">
      <c r="A123" s="9"/>
      <c r="B123" s="10">
        <v>80103</v>
      </c>
      <c r="C123" s="11"/>
      <c r="D123" s="12" t="s">
        <v>60</v>
      </c>
      <c r="E123" s="13">
        <f>SUM(E124:E125)</f>
        <v>33000</v>
      </c>
      <c r="F123" s="13">
        <f>SUM(F124:F125)</f>
        <v>0</v>
      </c>
      <c r="G123" s="13">
        <f>SUM(G124:G125)</f>
        <v>0</v>
      </c>
      <c r="H123" s="13">
        <f>SUM(H124:H125)</f>
        <v>33000</v>
      </c>
    </row>
    <row r="124" spans="1:8" ht="31.5">
      <c r="A124" s="9"/>
      <c r="B124" s="10"/>
      <c r="C124" s="11">
        <v>2030</v>
      </c>
      <c r="D124" s="12" t="s">
        <v>65</v>
      </c>
      <c r="E124" s="13">
        <v>3000</v>
      </c>
      <c r="F124" s="13"/>
      <c r="G124" s="13"/>
      <c r="H124" s="13">
        <f>E124+F124-G124</f>
        <v>3000</v>
      </c>
    </row>
    <row r="125" spans="1:8" ht="29.25" customHeight="1">
      <c r="A125" s="9"/>
      <c r="B125" s="10"/>
      <c r="C125" s="11">
        <v>2310</v>
      </c>
      <c r="D125" s="12" t="s">
        <v>61</v>
      </c>
      <c r="E125" s="13">
        <v>30000</v>
      </c>
      <c r="F125" s="13"/>
      <c r="G125" s="13"/>
      <c r="H125" s="13">
        <f>E125+F125-G125</f>
        <v>30000</v>
      </c>
    </row>
    <row r="126" spans="1:8" ht="15.75">
      <c r="A126" s="62"/>
      <c r="B126" s="10">
        <v>80104</v>
      </c>
      <c r="C126" s="11"/>
      <c r="D126" s="12" t="s">
        <v>62</v>
      </c>
      <c r="E126" s="13">
        <f>SUM(E127:E131)</f>
        <v>8782608</v>
      </c>
      <c r="F126" s="13">
        <f>SUM(F127:F131)</f>
        <v>0</v>
      </c>
      <c r="G126" s="13">
        <f>SUM(G127:G131)</f>
        <v>0</v>
      </c>
      <c r="H126" s="13">
        <f>SUM(H127:H131)</f>
        <v>8782608</v>
      </c>
    </row>
    <row r="127" spans="1:8" ht="15.75">
      <c r="A127" s="62"/>
      <c r="B127" s="10"/>
      <c r="C127" s="11">
        <v>660</v>
      </c>
      <c r="D127" s="12" t="s">
        <v>63</v>
      </c>
      <c r="E127" s="13">
        <f>52400+72030+70000+53000</f>
        <v>247430</v>
      </c>
      <c r="F127" s="13"/>
      <c r="G127" s="13"/>
      <c r="H127" s="13">
        <f>E127+F127-G127</f>
        <v>247430</v>
      </c>
    </row>
    <row r="128" spans="1:8" ht="27.75" customHeight="1">
      <c r="A128" s="62"/>
      <c r="B128" s="10"/>
      <c r="C128" s="11">
        <v>670</v>
      </c>
      <c r="D128" s="12" t="s">
        <v>64</v>
      </c>
      <c r="E128" s="13">
        <f>360600+308700+378000+240000</f>
        <v>1287300</v>
      </c>
      <c r="F128" s="13"/>
      <c r="G128" s="13"/>
      <c r="H128" s="13">
        <f>E128+F128-G128</f>
        <v>1287300</v>
      </c>
    </row>
    <row r="129" spans="1:8" ht="15" customHeight="1">
      <c r="A129" s="9"/>
      <c r="B129" s="10"/>
      <c r="C129" s="11">
        <v>830</v>
      </c>
      <c r="D129" s="12" t="s">
        <v>25</v>
      </c>
      <c r="E129" s="13">
        <v>20000</v>
      </c>
      <c r="F129" s="13"/>
      <c r="G129" s="13"/>
      <c r="H129" s="13">
        <f>E129+F129-G129</f>
        <v>20000</v>
      </c>
    </row>
    <row r="130" spans="1:8" ht="30.75" customHeight="1">
      <c r="A130" s="9"/>
      <c r="B130" s="10"/>
      <c r="C130" s="11">
        <v>2030</v>
      </c>
      <c r="D130" s="12" t="s">
        <v>65</v>
      </c>
      <c r="E130" s="13">
        <v>6377878</v>
      </c>
      <c r="F130" s="13"/>
      <c r="G130" s="13"/>
      <c r="H130" s="13">
        <f>E130+F130-G130</f>
        <v>6377878</v>
      </c>
    </row>
    <row r="131" spans="1:8" ht="27.75" customHeight="1">
      <c r="A131" s="9"/>
      <c r="B131" s="10"/>
      <c r="C131" s="11">
        <v>2310</v>
      </c>
      <c r="D131" s="12" t="s">
        <v>61</v>
      </c>
      <c r="E131" s="13">
        <v>850000</v>
      </c>
      <c r="F131" s="13"/>
      <c r="G131" s="13"/>
      <c r="H131" s="13">
        <f>E131+F131-G131</f>
        <v>850000</v>
      </c>
    </row>
    <row r="132" spans="1:8" ht="15.75">
      <c r="A132" s="9"/>
      <c r="B132" s="10">
        <v>80106</v>
      </c>
      <c r="C132" s="11"/>
      <c r="D132" s="12" t="s">
        <v>66</v>
      </c>
      <c r="E132" s="13">
        <f>E133</f>
        <v>25000</v>
      </c>
      <c r="F132" s="13">
        <f>F133</f>
        <v>0</v>
      </c>
      <c r="G132" s="13">
        <f>G133</f>
        <v>0</v>
      </c>
      <c r="H132" s="13">
        <f>H133</f>
        <v>25000</v>
      </c>
    </row>
    <row r="133" spans="1:8" ht="29.25" customHeight="1">
      <c r="A133" s="9"/>
      <c r="B133" s="10"/>
      <c r="C133" s="11">
        <v>2310</v>
      </c>
      <c r="D133" s="12" t="s">
        <v>61</v>
      </c>
      <c r="E133" s="13">
        <v>25000</v>
      </c>
      <c r="F133" s="13"/>
      <c r="G133" s="13"/>
      <c r="H133" s="13">
        <f>E133+F133-G133</f>
        <v>25000</v>
      </c>
    </row>
    <row r="134" spans="1:8" ht="47.25">
      <c r="A134" s="68"/>
      <c r="B134" s="69">
        <v>80149</v>
      </c>
      <c r="C134" s="70"/>
      <c r="D134" s="71" t="s">
        <v>154</v>
      </c>
      <c r="E134" s="72">
        <f>SUM(E135:E136)</f>
        <v>30975</v>
      </c>
      <c r="F134" s="72">
        <f>SUM(F135:F136)</f>
        <v>0</v>
      </c>
      <c r="G134" s="72">
        <f>SUM(G135:G136)</f>
        <v>0</v>
      </c>
      <c r="H134" s="72">
        <f>SUM(H135:H136)</f>
        <v>30975</v>
      </c>
    </row>
    <row r="135" spans="1:8" ht="17.25" customHeight="1">
      <c r="A135" s="68"/>
      <c r="B135" s="69"/>
      <c r="C135" s="70">
        <v>920</v>
      </c>
      <c r="D135" s="71" t="s">
        <v>20</v>
      </c>
      <c r="E135" s="72">
        <f>808+1212+1200</f>
        <v>3220</v>
      </c>
      <c r="F135" s="72"/>
      <c r="G135" s="72"/>
      <c r="H135" s="72">
        <f>E135+F135-G135</f>
        <v>3220</v>
      </c>
    </row>
    <row r="136" spans="1:8" ht="43.5" customHeight="1">
      <c r="A136" s="68"/>
      <c r="B136" s="69"/>
      <c r="C136" s="70">
        <v>2910</v>
      </c>
      <c r="D136" s="71" t="s">
        <v>334</v>
      </c>
      <c r="E136" s="72">
        <f>7102+10653+10000</f>
        <v>27755</v>
      </c>
      <c r="F136" s="72"/>
      <c r="G136" s="72"/>
      <c r="H136" s="72">
        <f>E136+F136-G136</f>
        <v>27755</v>
      </c>
    </row>
    <row r="137" spans="1:8" ht="30.75" customHeight="1">
      <c r="A137" s="9"/>
      <c r="B137" s="10">
        <v>80153</v>
      </c>
      <c r="C137" s="11"/>
      <c r="D137" s="12" t="s">
        <v>329</v>
      </c>
      <c r="E137" s="13">
        <f>SUM(E138:E139)</f>
        <v>579302.94999999995</v>
      </c>
      <c r="F137" s="13">
        <f>SUM(F138:F139)</f>
        <v>0</v>
      </c>
      <c r="G137" s="13">
        <f>SUM(G138:G139)</f>
        <v>0</v>
      </c>
      <c r="H137" s="13">
        <f>SUM(H138:H139)</f>
        <v>579302.94999999995</v>
      </c>
    </row>
    <row r="138" spans="1:8" ht="47.25">
      <c r="A138" s="9"/>
      <c r="B138" s="10"/>
      <c r="C138" s="11">
        <v>2010</v>
      </c>
      <c r="D138" s="12" t="s">
        <v>9</v>
      </c>
      <c r="E138" s="13">
        <f>522189.79+72225.53-15739.37</f>
        <v>578675.94999999995</v>
      </c>
      <c r="F138" s="13"/>
      <c r="G138" s="13"/>
      <c r="H138" s="13">
        <f>E138+F138-G138</f>
        <v>578675.94999999995</v>
      </c>
    </row>
    <row r="139" spans="1:8" ht="15.75">
      <c r="A139" s="9"/>
      <c r="B139" s="10"/>
      <c r="C139" s="11">
        <v>2950</v>
      </c>
      <c r="D139" s="12" t="s">
        <v>330</v>
      </c>
      <c r="E139" s="13">
        <v>627</v>
      </c>
      <c r="F139" s="13"/>
      <c r="G139" s="13"/>
      <c r="H139" s="13">
        <f>E139+F139-G139</f>
        <v>627</v>
      </c>
    </row>
    <row r="140" spans="1:8" ht="15.75">
      <c r="A140" s="68"/>
      <c r="B140" s="69">
        <v>80195</v>
      </c>
      <c r="C140" s="70"/>
      <c r="D140" s="71" t="s">
        <v>8</v>
      </c>
      <c r="E140" s="72">
        <f>SUM(E141:E144)</f>
        <v>1925786</v>
      </c>
      <c r="F140" s="72">
        <f>SUM(F141:F144)</f>
        <v>192326</v>
      </c>
      <c r="G140" s="72">
        <f>SUM(G141:G144)</f>
        <v>14214</v>
      </c>
      <c r="H140" s="72">
        <f>SUM(H141:H144)</f>
        <v>2103898</v>
      </c>
    </row>
    <row r="141" spans="1:8" ht="29.25" customHeight="1">
      <c r="A141" s="68"/>
      <c r="B141" s="69"/>
      <c r="C141" s="70">
        <v>2100</v>
      </c>
      <c r="D141" s="71" t="s">
        <v>317</v>
      </c>
      <c r="E141" s="72">
        <f>357133+347577+164419+167654+167086+171896+341904</f>
        <v>1717669</v>
      </c>
      <c r="F141" s="72">
        <v>178112</v>
      </c>
      <c r="G141" s="72"/>
      <c r="H141" s="72">
        <f>E141+F141-G141</f>
        <v>1895781</v>
      </c>
    </row>
    <row r="142" spans="1:8" ht="56.25" customHeight="1">
      <c r="A142" s="68"/>
      <c r="B142" s="69"/>
      <c r="C142" s="70">
        <v>2057</v>
      </c>
      <c r="D142" s="71" t="s">
        <v>342</v>
      </c>
      <c r="E142" s="72">
        <v>113717</v>
      </c>
      <c r="F142" s="72"/>
      <c r="G142" s="72">
        <v>14214</v>
      </c>
      <c r="H142" s="72">
        <f>E142+F142-G142</f>
        <v>99503</v>
      </c>
    </row>
    <row r="143" spans="1:8" ht="58.5" customHeight="1">
      <c r="A143" s="68"/>
      <c r="B143" s="69"/>
      <c r="C143" s="70">
        <v>2059</v>
      </c>
      <c r="D143" s="71" t="s">
        <v>342</v>
      </c>
      <c r="E143" s="72"/>
      <c r="F143" s="72">
        <v>14214</v>
      </c>
      <c r="G143" s="72"/>
      <c r="H143" s="72">
        <f>E143+F143-G143</f>
        <v>14214</v>
      </c>
    </row>
    <row r="144" spans="1:8" ht="60" customHeight="1">
      <c r="A144" s="68"/>
      <c r="B144" s="69"/>
      <c r="C144" s="122">
        <v>6257</v>
      </c>
      <c r="D144" s="167" t="s">
        <v>27</v>
      </c>
      <c r="E144" s="72">
        <v>94400</v>
      </c>
      <c r="F144" s="72"/>
      <c r="G144" s="72"/>
      <c r="H144" s="72">
        <f>E144+F144-G144</f>
        <v>94400</v>
      </c>
    </row>
    <row r="145" spans="1:8" ht="15.75">
      <c r="A145" s="9">
        <v>851</v>
      </c>
      <c r="B145" s="10"/>
      <c r="C145" s="11"/>
      <c r="D145" s="12" t="s">
        <v>155</v>
      </c>
      <c r="E145" s="13">
        <f>E146</f>
        <v>188393</v>
      </c>
      <c r="F145" s="13">
        <f>F146</f>
        <v>0</v>
      </c>
      <c r="G145" s="13">
        <f>G146</f>
        <v>0</v>
      </c>
      <c r="H145" s="13">
        <f>H146</f>
        <v>188393</v>
      </c>
    </row>
    <row r="146" spans="1:8" ht="15.75">
      <c r="A146" s="9"/>
      <c r="B146" s="10">
        <v>85149</v>
      </c>
      <c r="C146" s="11"/>
      <c r="D146" s="12" t="s">
        <v>210</v>
      </c>
      <c r="E146" s="13">
        <f>SUM(E147:E148)</f>
        <v>188393</v>
      </c>
      <c r="F146" s="13">
        <f>SUM(F147:F148)</f>
        <v>0</v>
      </c>
      <c r="G146" s="13">
        <f>SUM(G147:G148)</f>
        <v>0</v>
      </c>
      <c r="H146" s="13">
        <f>SUM(H147:H148)</f>
        <v>188393</v>
      </c>
    </row>
    <row r="147" spans="1:8" ht="29.25" customHeight="1">
      <c r="A147" s="9"/>
      <c r="B147" s="10"/>
      <c r="C147" s="11">
        <v>2170</v>
      </c>
      <c r="D147" s="12" t="s">
        <v>331</v>
      </c>
      <c r="E147" s="13">
        <v>143352</v>
      </c>
      <c r="F147" s="13"/>
      <c r="G147" s="13"/>
      <c r="H147" s="13">
        <f>E147+F147-G147</f>
        <v>143352</v>
      </c>
    </row>
    <row r="148" spans="1:8" ht="42.75" customHeight="1">
      <c r="A148" s="9"/>
      <c r="B148" s="10"/>
      <c r="C148" s="70">
        <v>2910</v>
      </c>
      <c r="D148" s="71" t="s">
        <v>334</v>
      </c>
      <c r="E148" s="13">
        <v>45041</v>
      </c>
      <c r="F148" s="13"/>
      <c r="G148" s="13"/>
      <c r="H148" s="13">
        <f>E148+F148-G148</f>
        <v>45041</v>
      </c>
    </row>
    <row r="149" spans="1:8" ht="15.75">
      <c r="A149" s="9">
        <v>852</v>
      </c>
      <c r="B149" s="10"/>
      <c r="C149" s="11"/>
      <c r="D149" s="12" t="s">
        <v>67</v>
      </c>
      <c r="E149" s="13">
        <f>E150+E155+E157+E162+E166+E172+E177+E170+E164+E168+E153+E160</f>
        <v>1564288.2000000002</v>
      </c>
      <c r="F149" s="13">
        <f>F150+F155+F157+F162+F166+F172+F177+F170+F164+F168+F153+F160</f>
        <v>165273.28</v>
      </c>
      <c r="G149" s="13">
        <f>G150+G155+G157+G162+G166+G172+G177+G170+G164+G168+G153+G160</f>
        <v>0</v>
      </c>
      <c r="H149" s="13">
        <f>H150+H155+H157+H162+H166+H172+H177+H170+H164+H168+H153+H160</f>
        <v>1729561.4800000002</v>
      </c>
    </row>
    <row r="150" spans="1:8" ht="15.75">
      <c r="A150" s="9"/>
      <c r="B150" s="10">
        <v>85202</v>
      </c>
      <c r="C150" s="11"/>
      <c r="D150" s="12" t="s">
        <v>68</v>
      </c>
      <c r="E150" s="13">
        <f>SUM(E151:E152)</f>
        <v>26000</v>
      </c>
      <c r="F150" s="13">
        <f>SUM(F151:F152)</f>
        <v>0</v>
      </c>
      <c r="G150" s="13">
        <f>SUM(G151:G152)</f>
        <v>0</v>
      </c>
      <c r="H150" s="13">
        <f>SUM(H151:H152)</f>
        <v>26000</v>
      </c>
    </row>
    <row r="151" spans="1:8" ht="15.75">
      <c r="A151" s="9"/>
      <c r="B151" s="10"/>
      <c r="C151" s="11">
        <v>830</v>
      </c>
      <c r="D151" s="12" t="s">
        <v>25</v>
      </c>
      <c r="E151" s="13">
        <v>25000</v>
      </c>
      <c r="F151" s="13"/>
      <c r="G151" s="13"/>
      <c r="H151" s="13">
        <f>E151+F151-G151</f>
        <v>25000</v>
      </c>
    </row>
    <row r="152" spans="1:8" ht="15.75">
      <c r="A152" s="9"/>
      <c r="B152" s="10"/>
      <c r="C152" s="70">
        <v>920</v>
      </c>
      <c r="D152" s="71" t="s">
        <v>20</v>
      </c>
      <c r="E152" s="13">
        <f>1000</f>
        <v>1000</v>
      </c>
      <c r="F152" s="13"/>
      <c r="G152" s="13"/>
      <c r="H152" s="13">
        <f>E152+F152-G152</f>
        <v>1000</v>
      </c>
    </row>
    <row r="153" spans="1:8" ht="15.75">
      <c r="A153" s="9"/>
      <c r="B153" s="10">
        <v>85205</v>
      </c>
      <c r="C153" s="11"/>
      <c r="D153" s="12" t="s">
        <v>159</v>
      </c>
      <c r="E153" s="13">
        <f>SUM(E154)</f>
        <v>6000</v>
      </c>
      <c r="F153" s="13">
        <f>SUM(F154)</f>
        <v>0</v>
      </c>
      <c r="G153" s="13">
        <f>SUM(G154)</f>
        <v>0</v>
      </c>
      <c r="H153" s="13">
        <f>SUM(H154)</f>
        <v>6000</v>
      </c>
    </row>
    <row r="154" spans="1:8" ht="31.5">
      <c r="A154" s="9"/>
      <c r="B154" s="10"/>
      <c r="C154" s="11">
        <v>2030</v>
      </c>
      <c r="D154" s="12" t="s">
        <v>65</v>
      </c>
      <c r="E154" s="13">
        <v>6000</v>
      </c>
      <c r="F154" s="13"/>
      <c r="G154" s="13"/>
      <c r="H154" s="13">
        <f>E154+F154-G154</f>
        <v>6000</v>
      </c>
    </row>
    <row r="155" spans="1:8" ht="45" customHeight="1">
      <c r="A155" s="9"/>
      <c r="B155" s="10">
        <v>85213</v>
      </c>
      <c r="C155" s="11"/>
      <c r="D155" s="12" t="s">
        <v>69</v>
      </c>
      <c r="E155" s="13">
        <f>E156</f>
        <v>11408</v>
      </c>
      <c r="F155" s="13">
        <f>F156</f>
        <v>185</v>
      </c>
      <c r="G155" s="13">
        <f>G156</f>
        <v>0</v>
      </c>
      <c r="H155" s="13">
        <f>H156</f>
        <v>11593</v>
      </c>
    </row>
    <row r="156" spans="1:8" ht="30.75" customHeight="1">
      <c r="A156" s="9"/>
      <c r="B156" s="10"/>
      <c r="C156" s="11">
        <v>2030</v>
      </c>
      <c r="D156" s="12" t="s">
        <v>65</v>
      </c>
      <c r="E156" s="13">
        <v>11408</v>
      </c>
      <c r="F156" s="13">
        <v>185</v>
      </c>
      <c r="G156" s="13"/>
      <c r="H156" s="13">
        <f>E156+F156-G156</f>
        <v>11593</v>
      </c>
    </row>
    <row r="157" spans="1:8" ht="27" customHeight="1">
      <c r="A157" s="9"/>
      <c r="B157" s="10">
        <v>85214</v>
      </c>
      <c r="C157" s="11"/>
      <c r="D157" s="12" t="s">
        <v>70</v>
      </c>
      <c r="E157" s="13">
        <f>SUM(E158:E159)</f>
        <v>21332</v>
      </c>
      <c r="F157" s="13">
        <f>SUM(F158:F159)</f>
        <v>4231</v>
      </c>
      <c r="G157" s="13">
        <f>SUM(G158:G159)</f>
        <v>0</v>
      </c>
      <c r="H157" s="13">
        <f>SUM(H158:H159)</f>
        <v>25563</v>
      </c>
    </row>
    <row r="158" spans="1:8" ht="15.75">
      <c r="A158" s="9"/>
      <c r="B158" s="10"/>
      <c r="C158" s="70">
        <v>940</v>
      </c>
      <c r="D158" s="71" t="s">
        <v>337</v>
      </c>
      <c r="E158" s="13">
        <f>4957+4000</f>
        <v>8957</v>
      </c>
      <c r="F158" s="13"/>
      <c r="G158" s="13"/>
      <c r="H158" s="13">
        <f>E158+F158-G158</f>
        <v>8957</v>
      </c>
    </row>
    <row r="159" spans="1:8" ht="30" customHeight="1">
      <c r="A159" s="9"/>
      <c r="B159" s="10"/>
      <c r="C159" s="11">
        <v>2030</v>
      </c>
      <c r="D159" s="12" t="s">
        <v>65</v>
      </c>
      <c r="E159" s="13">
        <v>12375</v>
      </c>
      <c r="F159" s="13">
        <v>4231</v>
      </c>
      <c r="G159" s="13"/>
      <c r="H159" s="13">
        <f>E159+F159-G159</f>
        <v>16606</v>
      </c>
    </row>
    <row r="160" spans="1:8" ht="15.75">
      <c r="A160" s="9"/>
      <c r="B160" s="10">
        <v>85215</v>
      </c>
      <c r="C160" s="11"/>
      <c r="D160" s="12" t="s">
        <v>71</v>
      </c>
      <c r="E160" s="13">
        <f>SUM(E161)</f>
        <v>120201</v>
      </c>
      <c r="F160" s="13">
        <f t="shared" ref="F160:H160" si="10">SUM(F161)</f>
        <v>120806.09</v>
      </c>
      <c r="G160" s="13">
        <f t="shared" si="10"/>
        <v>0</v>
      </c>
      <c r="H160" s="13">
        <f t="shared" si="10"/>
        <v>241007.09</v>
      </c>
    </row>
    <row r="161" spans="1:8" ht="47.25">
      <c r="A161" s="9"/>
      <c r="B161" s="10"/>
      <c r="C161" s="11">
        <v>2010</v>
      </c>
      <c r="D161" s="12" t="s">
        <v>9</v>
      </c>
      <c r="E161" s="13">
        <f>120201</f>
        <v>120201</v>
      </c>
      <c r="F161" s="13">
        <v>120806.09</v>
      </c>
      <c r="G161" s="13"/>
      <c r="H161" s="13">
        <f>E161+F161-G161</f>
        <v>241007.09</v>
      </c>
    </row>
    <row r="162" spans="1:8" ht="15.75">
      <c r="A162" s="9"/>
      <c r="B162" s="10">
        <v>85216</v>
      </c>
      <c r="C162" s="11"/>
      <c r="D162" s="12" t="s">
        <v>72</v>
      </c>
      <c r="E162" s="13">
        <f>E163</f>
        <v>120599</v>
      </c>
      <c r="F162" s="13">
        <f>F163</f>
        <v>23121</v>
      </c>
      <c r="G162" s="13">
        <f>G163</f>
        <v>0</v>
      </c>
      <c r="H162" s="13">
        <f>H163</f>
        <v>143720</v>
      </c>
    </row>
    <row r="163" spans="1:8" ht="29.25" customHeight="1">
      <c r="A163" s="9"/>
      <c r="B163" s="10"/>
      <c r="C163" s="11">
        <v>2030</v>
      </c>
      <c r="D163" s="12" t="s">
        <v>65</v>
      </c>
      <c r="E163" s="13">
        <f>97533+3566+19500</f>
        <v>120599</v>
      </c>
      <c r="F163" s="13">
        <v>23121</v>
      </c>
      <c r="G163" s="13"/>
      <c r="H163" s="13">
        <f>E163+F163-G163</f>
        <v>143720</v>
      </c>
    </row>
    <row r="164" spans="1:8" ht="15.75">
      <c r="A164" s="9"/>
      <c r="B164" s="10">
        <v>85219</v>
      </c>
      <c r="C164" s="11"/>
      <c r="D164" s="12" t="s">
        <v>73</v>
      </c>
      <c r="E164" s="13">
        <f>SUM(E165)</f>
        <v>109164.88</v>
      </c>
      <c r="F164" s="13">
        <f>SUM(F165)</f>
        <v>14000</v>
      </c>
      <c r="G164" s="13">
        <f>SUM(G165)</f>
        <v>0</v>
      </c>
      <c r="H164" s="13">
        <f>SUM(H165)</f>
        <v>123164.88</v>
      </c>
    </row>
    <row r="165" spans="1:8" ht="28.5" customHeight="1">
      <c r="A165" s="9"/>
      <c r="B165" s="10"/>
      <c r="C165" s="11">
        <v>2030</v>
      </c>
      <c r="D165" s="12" t="s">
        <v>65</v>
      </c>
      <c r="E165" s="13">
        <f>29956+79208.88</f>
        <v>109164.88</v>
      </c>
      <c r="F165" s="13">
        <v>14000</v>
      </c>
      <c r="G165" s="13"/>
      <c r="H165" s="13">
        <f>E165+F165-G165</f>
        <v>123164.88</v>
      </c>
    </row>
    <row r="166" spans="1:8" ht="15.75">
      <c r="A166" s="9"/>
      <c r="B166" s="10">
        <v>85228</v>
      </c>
      <c r="C166" s="11"/>
      <c r="D166" s="12" t="s">
        <v>74</v>
      </c>
      <c r="E166" s="13">
        <f>SUM(E167)</f>
        <v>40000</v>
      </c>
      <c r="F166" s="13">
        <f>SUM(F167)</f>
        <v>0</v>
      </c>
      <c r="G166" s="13">
        <f>SUM(G167)</f>
        <v>0</v>
      </c>
      <c r="H166" s="13">
        <f>SUM(H167)</f>
        <v>40000</v>
      </c>
    </row>
    <row r="167" spans="1:8" ht="15.75">
      <c r="A167" s="9"/>
      <c r="B167" s="10"/>
      <c r="C167" s="11">
        <v>830</v>
      </c>
      <c r="D167" s="12" t="s">
        <v>25</v>
      </c>
      <c r="E167" s="13">
        <v>40000</v>
      </c>
      <c r="F167" s="13"/>
      <c r="G167" s="13"/>
      <c r="H167" s="13">
        <f>E167+F167-G167</f>
        <v>40000</v>
      </c>
    </row>
    <row r="168" spans="1:8" ht="15.75">
      <c r="A168" s="9"/>
      <c r="B168" s="10">
        <v>85230</v>
      </c>
      <c r="C168" s="11"/>
      <c r="D168" s="12" t="s">
        <v>75</v>
      </c>
      <c r="E168" s="13">
        <f>E169</f>
        <v>60287.71</v>
      </c>
      <c r="F168" s="13">
        <f>F169</f>
        <v>0</v>
      </c>
      <c r="G168" s="13">
        <f>G169</f>
        <v>0</v>
      </c>
      <c r="H168" s="13">
        <f>H169</f>
        <v>60287.71</v>
      </c>
    </row>
    <row r="169" spans="1:8" ht="31.5">
      <c r="A169" s="9"/>
      <c r="B169" s="10"/>
      <c r="C169" s="11">
        <v>2030</v>
      </c>
      <c r="D169" s="12" t="s">
        <v>65</v>
      </c>
      <c r="E169" s="13">
        <f>35056.82+13366.81+11864.08</f>
        <v>60287.71</v>
      </c>
      <c r="F169" s="13"/>
      <c r="G169" s="13"/>
      <c r="H169" s="13">
        <f>E169+F169-G169</f>
        <v>60287.71</v>
      </c>
    </row>
    <row r="170" spans="1:8" ht="15.75">
      <c r="A170" s="246"/>
      <c r="B170" s="247">
        <v>85231</v>
      </c>
      <c r="C170" s="248"/>
      <c r="D170" s="230" t="s">
        <v>318</v>
      </c>
      <c r="E170" s="231">
        <f>E171</f>
        <v>615463.69000000006</v>
      </c>
      <c r="F170" s="231">
        <f>F171</f>
        <v>2930.19</v>
      </c>
      <c r="G170" s="231">
        <f>G171</f>
        <v>0</v>
      </c>
      <c r="H170" s="231">
        <f>H171</f>
        <v>618393.88</v>
      </c>
    </row>
    <row r="171" spans="1:8" ht="31.5">
      <c r="A171" s="246"/>
      <c r="B171" s="247"/>
      <c r="C171" s="46">
        <v>2100</v>
      </c>
      <c r="D171" s="47" t="s">
        <v>317</v>
      </c>
      <c r="E171" s="73">
        <f>13000+46304+74596+159485.63+68071.63+36328+40351.6+262980+1450.42-87103.59</f>
        <v>615463.69000000006</v>
      </c>
      <c r="F171" s="73">
        <v>2930.19</v>
      </c>
      <c r="G171" s="73"/>
      <c r="H171" s="73">
        <f>E171+F171-G171</f>
        <v>618393.88</v>
      </c>
    </row>
    <row r="172" spans="1:8" ht="15.75">
      <c r="A172" s="9"/>
      <c r="B172" s="10">
        <v>85232</v>
      </c>
      <c r="C172" s="11"/>
      <c r="D172" s="12" t="s">
        <v>76</v>
      </c>
      <c r="E172" s="13">
        <f>SUM(E173:E176)</f>
        <v>332390</v>
      </c>
      <c r="F172" s="13">
        <f>SUM(F173:F176)</f>
        <v>0</v>
      </c>
      <c r="G172" s="13">
        <f>SUM(G173:G176)</f>
        <v>0</v>
      </c>
      <c r="H172" s="13">
        <f>SUM(H173:H176)</f>
        <v>332390</v>
      </c>
    </row>
    <row r="173" spans="1:8" ht="15.75">
      <c r="A173" s="9"/>
      <c r="B173" s="10"/>
      <c r="C173" s="11">
        <v>830</v>
      </c>
      <c r="D173" s="12" t="s">
        <v>25</v>
      </c>
      <c r="E173" s="13">
        <v>140000</v>
      </c>
      <c r="F173" s="13"/>
      <c r="G173" s="13"/>
      <c r="H173" s="13">
        <f>E173+F173-G173</f>
        <v>140000</v>
      </c>
    </row>
    <row r="174" spans="1:8" ht="15.75">
      <c r="A174" s="9"/>
      <c r="B174" s="10"/>
      <c r="C174" s="70">
        <v>970</v>
      </c>
      <c r="D174" s="71" t="s">
        <v>31</v>
      </c>
      <c r="E174" s="13">
        <f>2390+20000</f>
        <v>22390</v>
      </c>
      <c r="F174" s="13"/>
      <c r="G174" s="13"/>
      <c r="H174" s="13">
        <f>E174+F174-G174</f>
        <v>22390</v>
      </c>
    </row>
    <row r="175" spans="1:8" ht="63">
      <c r="A175" s="9"/>
      <c r="B175" s="10"/>
      <c r="C175" s="70">
        <v>2057</v>
      </c>
      <c r="D175" s="71" t="s">
        <v>342</v>
      </c>
      <c r="E175" s="13">
        <f>3000</f>
        <v>3000</v>
      </c>
      <c r="F175" s="13"/>
      <c r="G175" s="13"/>
      <c r="H175" s="13">
        <f>E175+F175-G175</f>
        <v>3000</v>
      </c>
    </row>
    <row r="176" spans="1:8" ht="63">
      <c r="A176" s="9"/>
      <c r="B176" s="10"/>
      <c r="C176" s="122">
        <v>6257</v>
      </c>
      <c r="D176" s="167" t="s">
        <v>27</v>
      </c>
      <c r="E176" s="13">
        <f>167000</f>
        <v>167000</v>
      </c>
      <c r="F176" s="13"/>
      <c r="G176" s="13"/>
      <c r="H176" s="13">
        <f>E176+F176-G176</f>
        <v>167000</v>
      </c>
    </row>
    <row r="177" spans="1:8" ht="15.75">
      <c r="A177" s="9"/>
      <c r="B177" s="10">
        <v>85295</v>
      </c>
      <c r="C177" s="11"/>
      <c r="D177" s="12" t="s">
        <v>8</v>
      </c>
      <c r="E177" s="13">
        <f>E178</f>
        <v>101441.92</v>
      </c>
      <c r="F177" s="13">
        <f>F178</f>
        <v>0</v>
      </c>
      <c r="G177" s="13">
        <f>G178</f>
        <v>0</v>
      </c>
      <c r="H177" s="13">
        <f>H178</f>
        <v>101441.92</v>
      </c>
    </row>
    <row r="178" spans="1:8" ht="44.25" customHeight="1">
      <c r="A178" s="9"/>
      <c r="B178" s="10"/>
      <c r="C178" s="11">
        <v>2010</v>
      </c>
      <c r="D178" s="12" t="s">
        <v>9</v>
      </c>
      <c r="E178" s="13">
        <f>4392+65753.69+31296.23</f>
        <v>101441.92</v>
      </c>
      <c r="F178" s="13"/>
      <c r="G178" s="13"/>
      <c r="H178" s="13">
        <f>E178+F178-G178</f>
        <v>101441.92</v>
      </c>
    </row>
    <row r="179" spans="1:8" ht="15.75">
      <c r="A179" s="9">
        <v>853</v>
      </c>
      <c r="B179" s="10"/>
      <c r="C179" s="11"/>
      <c r="D179" s="12" t="s">
        <v>77</v>
      </c>
      <c r="E179" s="13">
        <f>E180</f>
        <v>75926.539999999994</v>
      </c>
      <c r="F179" s="13">
        <f>F180</f>
        <v>1581.41</v>
      </c>
      <c r="G179" s="13">
        <f>G180</f>
        <v>0</v>
      </c>
      <c r="H179" s="13">
        <f>H180</f>
        <v>77507.95</v>
      </c>
    </row>
    <row r="180" spans="1:8" ht="15.75">
      <c r="A180" s="9"/>
      <c r="B180" s="10">
        <v>85395</v>
      </c>
      <c r="C180" s="11"/>
      <c r="D180" s="12" t="s">
        <v>8</v>
      </c>
      <c r="E180" s="13">
        <f>SUM(E181:E183)</f>
        <v>75926.539999999994</v>
      </c>
      <c r="F180" s="13">
        <f t="shared" ref="F180:H180" si="11">SUM(F181:F183)</f>
        <v>1581.41</v>
      </c>
      <c r="G180" s="13">
        <f t="shared" si="11"/>
        <v>0</v>
      </c>
      <c r="H180" s="13">
        <f t="shared" si="11"/>
        <v>77507.95</v>
      </c>
    </row>
    <row r="181" spans="1:8" ht="31.5">
      <c r="A181" s="9"/>
      <c r="B181" s="10"/>
      <c r="C181" s="11">
        <v>2020</v>
      </c>
      <c r="D181" s="12" t="s">
        <v>503</v>
      </c>
      <c r="E181" s="13">
        <v>33000</v>
      </c>
      <c r="F181" s="13"/>
      <c r="G181" s="13"/>
      <c r="H181" s="13">
        <f>E181+F181-G181</f>
        <v>33000</v>
      </c>
    </row>
    <row r="182" spans="1:8" ht="31.5">
      <c r="A182" s="9"/>
      <c r="B182" s="10"/>
      <c r="C182" s="11">
        <v>2180</v>
      </c>
      <c r="D182" s="12" t="s">
        <v>325</v>
      </c>
      <c r="E182" s="13">
        <f>4468.99+29673.03+7230.88+433.64</f>
        <v>41806.539999999994</v>
      </c>
      <c r="F182" s="13">
        <v>1581.41</v>
      </c>
      <c r="G182" s="13"/>
      <c r="H182" s="13">
        <f>E182+F182-G182</f>
        <v>43387.95</v>
      </c>
    </row>
    <row r="183" spans="1:8" ht="47.25">
      <c r="A183" s="9"/>
      <c r="B183" s="10"/>
      <c r="C183" s="70">
        <v>2910</v>
      </c>
      <c r="D183" s="71" t="s">
        <v>334</v>
      </c>
      <c r="E183" s="13">
        <f>1120</f>
        <v>1120</v>
      </c>
      <c r="F183" s="13"/>
      <c r="G183" s="13"/>
      <c r="H183" s="13">
        <f>E183+F183-G183</f>
        <v>1120</v>
      </c>
    </row>
    <row r="184" spans="1:8" ht="15.75">
      <c r="A184" s="9">
        <v>854</v>
      </c>
      <c r="B184" s="10"/>
      <c r="C184" s="11"/>
      <c r="D184" s="12" t="s">
        <v>78</v>
      </c>
      <c r="E184" s="13">
        <f t="shared" ref="E184:H184" si="12">E185</f>
        <v>11321</v>
      </c>
      <c r="F184" s="13">
        <f t="shared" si="12"/>
        <v>2447.65</v>
      </c>
      <c r="G184" s="13">
        <f t="shared" si="12"/>
        <v>0</v>
      </c>
      <c r="H184" s="13">
        <f t="shared" si="12"/>
        <v>13768.65</v>
      </c>
    </row>
    <row r="185" spans="1:8" ht="15.75">
      <c r="A185" s="9"/>
      <c r="B185" s="10">
        <v>85415</v>
      </c>
      <c r="C185" s="11"/>
      <c r="D185" s="12" t="s">
        <v>79</v>
      </c>
      <c r="E185" s="13">
        <f>E186+E187</f>
        <v>11321</v>
      </c>
      <c r="F185" s="13">
        <f>F186+F187</f>
        <v>2447.65</v>
      </c>
      <c r="G185" s="13">
        <f>G186+G187</f>
        <v>0</v>
      </c>
      <c r="H185" s="13">
        <f>H186+H187</f>
        <v>13768.65</v>
      </c>
    </row>
    <row r="186" spans="1:8" ht="31.5">
      <c r="A186" s="9"/>
      <c r="B186" s="10"/>
      <c r="C186" s="11">
        <v>2030</v>
      </c>
      <c r="D186" s="12" t="s">
        <v>65</v>
      </c>
      <c r="E186" s="13">
        <f>5491+5830</f>
        <v>11321</v>
      </c>
      <c r="F186" s="13"/>
      <c r="G186" s="13"/>
      <c r="H186" s="13">
        <f>E186+F186-G186</f>
        <v>11321</v>
      </c>
    </row>
    <row r="187" spans="1:8" ht="47.25">
      <c r="A187" s="9"/>
      <c r="B187" s="10"/>
      <c r="C187" s="11">
        <v>2040</v>
      </c>
      <c r="D187" s="12" t="s">
        <v>520</v>
      </c>
      <c r="E187" s="13"/>
      <c r="F187" s="13">
        <v>2447.65</v>
      </c>
      <c r="G187" s="13"/>
      <c r="H187" s="13">
        <f>E187+F187-G187</f>
        <v>2447.65</v>
      </c>
    </row>
    <row r="188" spans="1:8" ht="15.75">
      <c r="A188" s="9">
        <v>855</v>
      </c>
      <c r="B188" s="10"/>
      <c r="C188" s="11"/>
      <c r="D188" s="12" t="s">
        <v>80</v>
      </c>
      <c r="E188" s="13">
        <f>E192+E205+E197+E202+E189+E199</f>
        <v>9650283.1999999993</v>
      </c>
      <c r="F188" s="13">
        <f t="shared" ref="F188:H188" si="13">F192+F205+F197+F202+F189+F199</f>
        <v>739765.11</v>
      </c>
      <c r="G188" s="13">
        <f t="shared" si="13"/>
        <v>0</v>
      </c>
      <c r="H188" s="13">
        <f t="shared" si="13"/>
        <v>10390048.310000001</v>
      </c>
    </row>
    <row r="189" spans="1:8" ht="15.75">
      <c r="A189" s="9"/>
      <c r="B189" s="10">
        <v>85501</v>
      </c>
      <c r="C189" s="11"/>
      <c r="D189" s="12" t="s">
        <v>478</v>
      </c>
      <c r="E189" s="13">
        <f>SUM(E190:E191)</f>
        <v>2729</v>
      </c>
      <c r="F189" s="13">
        <f>SUM(F190:F191)</f>
        <v>2175</v>
      </c>
      <c r="G189" s="13">
        <f>SUM(G190:G191)</f>
        <v>0</v>
      </c>
      <c r="H189" s="13">
        <f>SUM(H190:H191)</f>
        <v>4904</v>
      </c>
    </row>
    <row r="190" spans="1:8" ht="15.75">
      <c r="A190" s="9"/>
      <c r="B190" s="10"/>
      <c r="C190" s="70">
        <v>920</v>
      </c>
      <c r="D190" s="71" t="s">
        <v>20</v>
      </c>
      <c r="E190" s="13">
        <v>13</v>
      </c>
      <c r="F190" s="13">
        <v>75</v>
      </c>
      <c r="G190" s="13"/>
      <c r="H190" s="13">
        <f>E190+F190-G190</f>
        <v>88</v>
      </c>
    </row>
    <row r="191" spans="1:8" ht="15.75">
      <c r="A191" s="9"/>
      <c r="B191" s="10"/>
      <c r="C191" s="70">
        <v>940</v>
      </c>
      <c r="D191" s="71" t="s">
        <v>337</v>
      </c>
      <c r="E191" s="13">
        <f>2716</f>
        <v>2716</v>
      </c>
      <c r="F191" s="13">
        <v>2100</v>
      </c>
      <c r="G191" s="13"/>
      <c r="H191" s="13">
        <f>E191+F191-G191</f>
        <v>4816</v>
      </c>
    </row>
    <row r="192" spans="1:8" ht="29.25" customHeight="1">
      <c r="A192" s="9"/>
      <c r="B192" s="10">
        <v>85502</v>
      </c>
      <c r="C192" s="11"/>
      <c r="D192" s="12" t="s">
        <v>188</v>
      </c>
      <c r="E192" s="13">
        <f>SUM(E193:E196)</f>
        <v>9545898</v>
      </c>
      <c r="F192" s="13">
        <f>SUM(F193:F196)</f>
        <v>720214</v>
      </c>
      <c r="G192" s="13">
        <f>SUM(G193:G196)</f>
        <v>0</v>
      </c>
      <c r="H192" s="13">
        <f>SUM(H193:H196)</f>
        <v>10266112</v>
      </c>
    </row>
    <row r="193" spans="1:8" ht="15.75">
      <c r="A193" s="9"/>
      <c r="B193" s="10"/>
      <c r="C193" s="70">
        <v>920</v>
      </c>
      <c r="D193" s="71" t="s">
        <v>20</v>
      </c>
      <c r="E193" s="13">
        <f>6335</f>
        <v>6335</v>
      </c>
      <c r="F193" s="13">
        <v>45</v>
      </c>
      <c r="G193" s="13"/>
      <c r="H193" s="13">
        <f>E193+F193-G193</f>
        <v>6380</v>
      </c>
    </row>
    <row r="194" spans="1:8" ht="15.75">
      <c r="A194" s="9"/>
      <c r="B194" s="10"/>
      <c r="C194" s="70">
        <v>940</v>
      </c>
      <c r="D194" s="71" t="s">
        <v>337</v>
      </c>
      <c r="E194" s="13">
        <f>45438</f>
        <v>45438</v>
      </c>
      <c r="F194" s="13">
        <v>3174</v>
      </c>
      <c r="G194" s="13"/>
      <c r="H194" s="13">
        <f>E194+F194-G194</f>
        <v>48612</v>
      </c>
    </row>
    <row r="195" spans="1:8" ht="48.75" customHeight="1">
      <c r="A195" s="9"/>
      <c r="B195" s="10"/>
      <c r="C195" s="11">
        <v>2010</v>
      </c>
      <c r="D195" s="12" t="s">
        <v>9</v>
      </c>
      <c r="E195" s="13">
        <f>5516142+2292003+814335+847085</f>
        <v>9469565</v>
      </c>
      <c r="F195" s="13">
        <f>700000+16995</f>
        <v>716995</v>
      </c>
      <c r="G195" s="13"/>
      <c r="H195" s="13">
        <f>E195+F195-G195</f>
        <v>10186560</v>
      </c>
    </row>
    <row r="196" spans="1:8" ht="27.75" customHeight="1">
      <c r="A196" s="9"/>
      <c r="B196" s="10"/>
      <c r="C196" s="11">
        <v>2360</v>
      </c>
      <c r="D196" s="12" t="s">
        <v>341</v>
      </c>
      <c r="E196" s="13">
        <f>7560+7000+10000</f>
        <v>24560</v>
      </c>
      <c r="F196" s="13"/>
      <c r="G196" s="13"/>
      <c r="H196" s="13">
        <f>E196+F196-G196</f>
        <v>24560</v>
      </c>
    </row>
    <row r="197" spans="1:8" ht="15.75">
      <c r="A197" s="68"/>
      <c r="B197" s="10">
        <v>85503</v>
      </c>
      <c r="C197" s="11"/>
      <c r="D197" s="12" t="s">
        <v>340</v>
      </c>
      <c r="E197" s="13">
        <f>E198</f>
        <v>1700</v>
      </c>
      <c r="F197" s="13">
        <f>F198</f>
        <v>300</v>
      </c>
      <c r="G197" s="13">
        <f>G198</f>
        <v>0</v>
      </c>
      <c r="H197" s="13">
        <f>H198</f>
        <v>2000</v>
      </c>
    </row>
    <row r="198" spans="1:8" ht="47.25">
      <c r="A198" s="68"/>
      <c r="B198" s="10"/>
      <c r="C198" s="11">
        <v>2010</v>
      </c>
      <c r="D198" s="12" t="s">
        <v>9</v>
      </c>
      <c r="E198" s="13">
        <f>898+802</f>
        <v>1700</v>
      </c>
      <c r="F198" s="13">
        <v>300</v>
      </c>
      <c r="G198" s="13"/>
      <c r="H198" s="13">
        <f>E198+F198-G198</f>
        <v>2000</v>
      </c>
    </row>
    <row r="199" spans="1:8" ht="15.75">
      <c r="A199" s="9"/>
      <c r="B199" s="10">
        <v>85504</v>
      </c>
      <c r="C199" s="11"/>
      <c r="D199" s="12" t="s">
        <v>164</v>
      </c>
      <c r="E199" s="13">
        <f>SUM(E200:E201)</f>
        <v>7180.2</v>
      </c>
      <c r="F199" s="13">
        <f t="shared" ref="F199:H199" si="14">SUM(F200:F201)</f>
        <v>15076.11</v>
      </c>
      <c r="G199" s="13">
        <f t="shared" si="14"/>
        <v>0</v>
      </c>
      <c r="H199" s="13">
        <f t="shared" si="14"/>
        <v>22256.31</v>
      </c>
    </row>
    <row r="200" spans="1:8" ht="31.5">
      <c r="A200" s="68"/>
      <c r="B200" s="10"/>
      <c r="C200" s="11">
        <v>2030</v>
      </c>
      <c r="D200" s="12" t="s">
        <v>65</v>
      </c>
      <c r="E200" s="13">
        <f>7180.2</f>
        <v>7180.2</v>
      </c>
      <c r="F200" s="13"/>
      <c r="G200" s="13"/>
      <c r="H200" s="13">
        <f>E200+F200-G200</f>
        <v>7180.2</v>
      </c>
    </row>
    <row r="201" spans="1:8" ht="31.5">
      <c r="A201" s="68"/>
      <c r="B201" s="10"/>
      <c r="C201" s="11">
        <v>2690</v>
      </c>
      <c r="D201" s="12" t="s">
        <v>521</v>
      </c>
      <c r="E201" s="13"/>
      <c r="F201" s="13">
        <v>15076.11</v>
      </c>
      <c r="G201" s="13"/>
      <c r="H201" s="13">
        <f>E201+F201-G201</f>
        <v>15076.11</v>
      </c>
    </row>
    <row r="202" spans="1:8" ht="15" customHeight="1">
      <c r="A202" s="9"/>
      <c r="B202" s="10">
        <v>85508</v>
      </c>
      <c r="C202" s="11"/>
      <c r="D202" s="12" t="s">
        <v>165</v>
      </c>
      <c r="E202" s="13">
        <f>SUM(E203:E204)</f>
        <v>475</v>
      </c>
      <c r="F202" s="13">
        <f>SUM(F203:F204)</f>
        <v>0</v>
      </c>
      <c r="G202" s="13">
        <f>SUM(G203:G204)</f>
        <v>0</v>
      </c>
      <c r="H202" s="13">
        <f>SUM(H203:H204)</f>
        <v>475</v>
      </c>
    </row>
    <row r="203" spans="1:8" ht="15.75">
      <c r="A203" s="68"/>
      <c r="B203" s="10"/>
      <c r="C203" s="11">
        <v>830</v>
      </c>
      <c r="D203" s="12" t="s">
        <v>25</v>
      </c>
      <c r="E203" s="13">
        <f>400</f>
        <v>400</v>
      </c>
      <c r="F203" s="13"/>
      <c r="G203" s="13"/>
      <c r="H203" s="13">
        <f>E203+F203-G203</f>
        <v>400</v>
      </c>
    </row>
    <row r="204" spans="1:8" ht="15.75">
      <c r="A204" s="68"/>
      <c r="B204" s="10"/>
      <c r="C204" s="70">
        <v>920</v>
      </c>
      <c r="D204" s="71" t="s">
        <v>20</v>
      </c>
      <c r="E204" s="13">
        <f>75</f>
        <v>75</v>
      </c>
      <c r="F204" s="13"/>
      <c r="G204" s="13"/>
      <c r="H204" s="13">
        <f>E204+F204-G204</f>
        <v>75</v>
      </c>
    </row>
    <row r="205" spans="1:8" ht="30" customHeight="1">
      <c r="A205" s="9"/>
      <c r="B205" s="10">
        <v>85513</v>
      </c>
      <c r="C205" s="11"/>
      <c r="D205" s="12" t="s">
        <v>82</v>
      </c>
      <c r="E205" s="13">
        <f>E206</f>
        <v>92301</v>
      </c>
      <c r="F205" s="13">
        <f>F206</f>
        <v>2000</v>
      </c>
      <c r="G205" s="13">
        <f>G206</f>
        <v>0</v>
      </c>
      <c r="H205" s="13">
        <f>H206</f>
        <v>94301</v>
      </c>
    </row>
    <row r="206" spans="1:8" ht="45" customHeight="1">
      <c r="A206" s="9"/>
      <c r="B206" s="10"/>
      <c r="C206" s="11">
        <v>2010</v>
      </c>
      <c r="D206" s="12" t="s">
        <v>9</v>
      </c>
      <c r="E206" s="13">
        <f>65701+2500+2500+9000+12600</f>
        <v>92301</v>
      </c>
      <c r="F206" s="13">
        <v>2000</v>
      </c>
      <c r="G206" s="13"/>
      <c r="H206" s="13">
        <f>E206+F206-G206</f>
        <v>94301</v>
      </c>
    </row>
    <row r="207" spans="1:8" ht="15.75">
      <c r="A207" s="9">
        <v>900</v>
      </c>
      <c r="B207" s="10"/>
      <c r="C207" s="11"/>
      <c r="D207" s="12" t="s">
        <v>84</v>
      </c>
      <c r="E207" s="13">
        <f>E208+E218+E211+E216+E214+E220</f>
        <v>5773300</v>
      </c>
      <c r="F207" s="13">
        <f>F208+F218+F211+F216+F214+F220</f>
        <v>0</v>
      </c>
      <c r="G207" s="13">
        <f>G208+G218+G211+G216+G214+G220</f>
        <v>816112.34</v>
      </c>
      <c r="H207" s="13">
        <f>H208+H218+H211+H216+H214+H220</f>
        <v>4957187.66</v>
      </c>
    </row>
    <row r="208" spans="1:8" ht="15.75">
      <c r="A208" s="9"/>
      <c r="B208" s="10">
        <v>90001</v>
      </c>
      <c r="C208" s="11"/>
      <c r="D208" s="12" t="s">
        <v>85</v>
      </c>
      <c r="E208" s="13">
        <f>SUM(E209:E210)</f>
        <v>620646</v>
      </c>
      <c r="F208" s="13">
        <f>SUM(F209:F210)</f>
        <v>0</v>
      </c>
      <c r="G208" s="13">
        <f>SUM(G209:G210)</f>
        <v>0</v>
      </c>
      <c r="H208" s="13">
        <f>SUM(H209:H210)</f>
        <v>620646</v>
      </c>
    </row>
    <row r="209" spans="1:8" ht="15.75">
      <c r="A209" s="9"/>
      <c r="B209" s="10"/>
      <c r="C209" s="11">
        <v>690</v>
      </c>
      <c r="D209" s="12" t="s">
        <v>19</v>
      </c>
      <c r="E209" s="13">
        <f>46+600</f>
        <v>646</v>
      </c>
      <c r="F209" s="13"/>
      <c r="G209" s="13"/>
      <c r="H209" s="13">
        <f>E209+F209-G209</f>
        <v>646</v>
      </c>
    </row>
    <row r="210" spans="1:8" ht="47.25">
      <c r="A210" s="9"/>
      <c r="B210" s="10"/>
      <c r="C210" s="11">
        <v>750</v>
      </c>
      <c r="D210" s="12" t="s">
        <v>7</v>
      </c>
      <c r="E210" s="13">
        <f>320000+300000</f>
        <v>620000</v>
      </c>
      <c r="F210" s="13"/>
      <c r="G210" s="13"/>
      <c r="H210" s="13">
        <f>E210+F210-G210</f>
        <v>620000</v>
      </c>
    </row>
    <row r="211" spans="1:8" ht="15.75">
      <c r="A211" s="68"/>
      <c r="B211" s="69">
        <v>90005</v>
      </c>
      <c r="C211" s="70"/>
      <c r="D211" s="71" t="s">
        <v>87</v>
      </c>
      <c r="E211" s="72">
        <f>SUM(E212:E213)</f>
        <v>106271</v>
      </c>
      <c r="F211" s="72">
        <f>SUM(F212:F213)</f>
        <v>0</v>
      </c>
      <c r="G211" s="72">
        <f>SUM(G212:G213)</f>
        <v>0</v>
      </c>
      <c r="H211" s="72">
        <f>SUM(H212:H213)</f>
        <v>106271</v>
      </c>
    </row>
    <row r="212" spans="1:8" ht="63">
      <c r="A212" s="68"/>
      <c r="B212" s="69"/>
      <c r="C212" s="70">
        <v>2057</v>
      </c>
      <c r="D212" s="71" t="s">
        <v>342</v>
      </c>
      <c r="E212" s="72">
        <v>80217</v>
      </c>
      <c r="F212" s="72"/>
      <c r="G212" s="72"/>
      <c r="H212" s="72">
        <f>E212+F212-G212</f>
        <v>80217</v>
      </c>
    </row>
    <row r="213" spans="1:8" ht="42.75" customHeight="1">
      <c r="A213" s="68"/>
      <c r="B213" s="69"/>
      <c r="C213" s="70">
        <v>2460</v>
      </c>
      <c r="D213" s="71" t="s">
        <v>343</v>
      </c>
      <c r="E213" s="72">
        <f>21654+4400</f>
        <v>26054</v>
      </c>
      <c r="F213" s="72"/>
      <c r="G213" s="72"/>
      <c r="H213" s="72">
        <f>E213+F213-G213</f>
        <v>26054</v>
      </c>
    </row>
    <row r="214" spans="1:8" ht="15.75">
      <c r="A214" s="9"/>
      <c r="B214" s="10">
        <v>90013</v>
      </c>
      <c r="C214" s="11"/>
      <c r="D214" s="12" t="s">
        <v>170</v>
      </c>
      <c r="E214" s="13">
        <f>SUM(E215)</f>
        <v>12000</v>
      </c>
      <c r="F214" s="13">
        <f>SUM(F215)</f>
        <v>0</v>
      </c>
      <c r="G214" s="13">
        <f>SUM(G215)</f>
        <v>0</v>
      </c>
      <c r="H214" s="13">
        <f>SUM(H215)</f>
        <v>12000</v>
      </c>
    </row>
    <row r="215" spans="1:8" ht="30" customHeight="1">
      <c r="A215" s="68"/>
      <c r="B215" s="69"/>
      <c r="C215" s="11">
        <v>2310</v>
      </c>
      <c r="D215" s="12" t="s">
        <v>61</v>
      </c>
      <c r="E215" s="72">
        <v>12000</v>
      </c>
      <c r="F215" s="72"/>
      <c r="G215" s="72"/>
      <c r="H215" s="72">
        <f>E215+F215-G215</f>
        <v>12000</v>
      </c>
    </row>
    <row r="216" spans="1:8" ht="15.75">
      <c r="A216" s="9"/>
      <c r="B216" s="10">
        <v>90015</v>
      </c>
      <c r="C216" s="11"/>
      <c r="D216" s="12" t="s">
        <v>172</v>
      </c>
      <c r="E216" s="13">
        <f>E217</f>
        <v>1343680</v>
      </c>
      <c r="F216" s="13">
        <f>F217</f>
        <v>0</v>
      </c>
      <c r="G216" s="13">
        <f>G217</f>
        <v>816112.34</v>
      </c>
      <c r="H216" s="13">
        <f>H217</f>
        <v>527567.66</v>
      </c>
    </row>
    <row r="217" spans="1:8" ht="31.5">
      <c r="A217" s="9"/>
      <c r="B217" s="10"/>
      <c r="C217" s="11">
        <v>6370</v>
      </c>
      <c r="D217" s="12" t="s">
        <v>187</v>
      </c>
      <c r="E217" s="13">
        <v>1343680</v>
      </c>
      <c r="F217" s="13"/>
      <c r="G217" s="13">
        <v>816112.34</v>
      </c>
      <c r="H217" s="13">
        <f>E217+F217-G217</f>
        <v>527567.66</v>
      </c>
    </row>
    <row r="218" spans="1:8" ht="26.25" customHeight="1">
      <c r="A218" s="9"/>
      <c r="B218" s="10">
        <v>90019</v>
      </c>
      <c r="C218" s="11"/>
      <c r="D218" s="12" t="s">
        <v>88</v>
      </c>
      <c r="E218" s="13">
        <f>SUM(E219)</f>
        <v>60000</v>
      </c>
      <c r="F218" s="13">
        <f>SUM(F219)</f>
        <v>0</v>
      </c>
      <c r="G218" s="13">
        <f>SUM(G219)</f>
        <v>0</v>
      </c>
      <c r="H218" s="13">
        <f>SUM(H219)</f>
        <v>60000</v>
      </c>
    </row>
    <row r="219" spans="1:8" ht="15.75">
      <c r="A219" s="9"/>
      <c r="B219" s="10"/>
      <c r="C219" s="11">
        <v>690</v>
      </c>
      <c r="D219" s="12" t="s">
        <v>19</v>
      </c>
      <c r="E219" s="13">
        <v>60000</v>
      </c>
      <c r="F219" s="13"/>
      <c r="G219" s="13"/>
      <c r="H219" s="13">
        <f>E219+F219-G219</f>
        <v>60000</v>
      </c>
    </row>
    <row r="220" spans="1:8" ht="15.75">
      <c r="A220" s="9"/>
      <c r="B220" s="10">
        <v>90095</v>
      </c>
      <c r="C220" s="11"/>
      <c r="D220" s="12" t="s">
        <v>8</v>
      </c>
      <c r="E220" s="13">
        <f>SUM(E221:E222)</f>
        <v>3630703</v>
      </c>
      <c r="F220" s="13">
        <f>SUM(F221:F222)</f>
        <v>0</v>
      </c>
      <c r="G220" s="13">
        <f>SUM(G221:G222)</f>
        <v>0</v>
      </c>
      <c r="H220" s="13">
        <f>SUM(H221:H222)</f>
        <v>3630703</v>
      </c>
    </row>
    <row r="221" spans="1:8" ht="61.5" customHeight="1">
      <c r="A221" s="9"/>
      <c r="B221" s="10"/>
      <c r="C221" s="46">
        <v>6257</v>
      </c>
      <c r="D221" s="47" t="s">
        <v>27</v>
      </c>
      <c r="E221" s="13">
        <v>3530703</v>
      </c>
      <c r="F221" s="13"/>
      <c r="G221" s="13"/>
      <c r="H221" s="13">
        <f>E221+F221-G221</f>
        <v>3530703</v>
      </c>
    </row>
    <row r="222" spans="1:8" ht="47.25">
      <c r="A222" s="9"/>
      <c r="B222" s="10"/>
      <c r="C222" s="11">
        <v>6300</v>
      </c>
      <c r="D222" s="12" t="s">
        <v>17</v>
      </c>
      <c r="E222" s="13">
        <v>100000</v>
      </c>
      <c r="F222" s="13"/>
      <c r="G222" s="13"/>
      <c r="H222" s="13">
        <f>E222+F222-G222</f>
        <v>100000</v>
      </c>
    </row>
    <row r="223" spans="1:8" ht="15.75">
      <c r="A223" s="9">
        <v>921</v>
      </c>
      <c r="B223" s="10"/>
      <c r="C223" s="11"/>
      <c r="D223" s="12" t="s">
        <v>175</v>
      </c>
      <c r="E223" s="13">
        <f>E228+E224+E226+E232</f>
        <v>2098141</v>
      </c>
      <c r="F223" s="13">
        <f>F228+F224+F226+F232</f>
        <v>0</v>
      </c>
      <c r="G223" s="13">
        <f>G228+G224+G226+G232</f>
        <v>850000</v>
      </c>
      <c r="H223" s="13">
        <f>H228+H224+H226+H232</f>
        <v>1248141</v>
      </c>
    </row>
    <row r="224" spans="1:8" ht="15.75">
      <c r="A224" s="9"/>
      <c r="B224" s="10">
        <v>92109</v>
      </c>
      <c r="C224" s="11"/>
      <c r="D224" s="12" t="s">
        <v>177</v>
      </c>
      <c r="E224" s="13">
        <f>E225</f>
        <v>1000000</v>
      </c>
      <c r="F224" s="13">
        <f>F225</f>
        <v>0</v>
      </c>
      <c r="G224" s="13">
        <f>G225</f>
        <v>0</v>
      </c>
      <c r="H224" s="13">
        <f>H225</f>
        <v>1000000</v>
      </c>
    </row>
    <row r="225" spans="1:8" ht="30.75" customHeight="1">
      <c r="A225" s="9"/>
      <c r="B225" s="10"/>
      <c r="C225" s="11">
        <v>6370</v>
      </c>
      <c r="D225" s="12" t="s">
        <v>187</v>
      </c>
      <c r="E225" s="13">
        <v>1000000</v>
      </c>
      <c r="F225" s="13"/>
      <c r="G225" s="13"/>
      <c r="H225" s="13">
        <f>E225+F225-G225</f>
        <v>1000000</v>
      </c>
    </row>
    <row r="226" spans="1:8" ht="15.75">
      <c r="A226" s="68"/>
      <c r="B226" s="69">
        <v>92116</v>
      </c>
      <c r="C226" s="70"/>
      <c r="D226" s="71" t="s">
        <v>179</v>
      </c>
      <c r="E226" s="72">
        <f>E227</f>
        <v>232941</v>
      </c>
      <c r="F226" s="72">
        <f>F227</f>
        <v>0</v>
      </c>
      <c r="G226" s="72">
        <f>G227</f>
        <v>0</v>
      </c>
      <c r="H226" s="72">
        <f>H227</f>
        <v>232941</v>
      </c>
    </row>
    <row r="227" spans="1:8" ht="47.25">
      <c r="A227" s="68"/>
      <c r="B227" s="69"/>
      <c r="C227" s="11">
        <v>2910</v>
      </c>
      <c r="D227" s="12" t="s">
        <v>334</v>
      </c>
      <c r="E227" s="72">
        <v>232941</v>
      </c>
      <c r="F227" s="72"/>
      <c r="G227" s="72"/>
      <c r="H227" s="72">
        <f>E227+F227-G227</f>
        <v>232941</v>
      </c>
    </row>
    <row r="228" spans="1:8" ht="15.75">
      <c r="A228" s="9"/>
      <c r="B228" s="10">
        <v>92120</v>
      </c>
      <c r="C228" s="11"/>
      <c r="D228" s="12" t="s">
        <v>180</v>
      </c>
      <c r="E228" s="13">
        <f>SUM(E229:E231)</f>
        <v>850000</v>
      </c>
      <c r="F228" s="13">
        <f>SUM(F229:F231)</f>
        <v>0</v>
      </c>
      <c r="G228" s="13">
        <f>SUM(G229:G231)</f>
        <v>850000</v>
      </c>
      <c r="H228" s="13">
        <f>SUM(H229:H231)</f>
        <v>0</v>
      </c>
    </row>
    <row r="229" spans="1:8" ht="15.75">
      <c r="A229" s="9"/>
      <c r="B229" s="10"/>
      <c r="C229" s="11">
        <v>960</v>
      </c>
      <c r="D229" s="12" t="s">
        <v>482</v>
      </c>
      <c r="E229" s="13">
        <f>7200</f>
        <v>7200</v>
      </c>
      <c r="F229" s="13"/>
      <c r="G229" s="13">
        <v>7200</v>
      </c>
      <c r="H229" s="13">
        <f>E229+F229-G229</f>
        <v>0</v>
      </c>
    </row>
    <row r="230" spans="1:8" ht="45.75" customHeight="1">
      <c r="A230" s="9"/>
      <c r="B230" s="10"/>
      <c r="C230" s="11">
        <v>6090</v>
      </c>
      <c r="D230" s="12" t="s">
        <v>209</v>
      </c>
      <c r="E230" s="13">
        <f>352800+490000</f>
        <v>842800</v>
      </c>
      <c r="F230" s="13"/>
      <c r="G230" s="13">
        <v>842800</v>
      </c>
      <c r="H230" s="13">
        <f>E230+F230-G230</f>
        <v>0</v>
      </c>
    </row>
    <row r="231" spans="1:8" ht="31.5">
      <c r="A231" s="9"/>
      <c r="B231" s="10"/>
      <c r="C231" s="11">
        <v>6370</v>
      </c>
      <c r="D231" s="12" t="s">
        <v>187</v>
      </c>
      <c r="E231" s="13">
        <f>3000000-3000000</f>
        <v>0</v>
      </c>
      <c r="F231" s="13"/>
      <c r="G231" s="13"/>
      <c r="H231" s="13">
        <f>E231+F231-G231</f>
        <v>0</v>
      </c>
    </row>
    <row r="232" spans="1:8" ht="15.75">
      <c r="A232" s="9"/>
      <c r="B232" s="10">
        <v>92195</v>
      </c>
      <c r="C232" s="11"/>
      <c r="D232" s="12" t="s">
        <v>8</v>
      </c>
      <c r="E232" s="13">
        <f>SUM(E233)</f>
        <v>15200</v>
      </c>
      <c r="F232" s="13">
        <f>SUM(F233)</f>
        <v>0</v>
      </c>
      <c r="G232" s="13">
        <f>SUM(G233)</f>
        <v>0</v>
      </c>
      <c r="H232" s="13">
        <f>SUM(H233)</f>
        <v>15200</v>
      </c>
    </row>
    <row r="233" spans="1:8" ht="43.5" customHeight="1">
      <c r="A233" s="9"/>
      <c r="B233" s="10"/>
      <c r="C233" s="11">
        <v>2710</v>
      </c>
      <c r="D233" s="12" t="s">
        <v>481</v>
      </c>
      <c r="E233" s="13">
        <v>15200</v>
      </c>
      <c r="F233" s="13"/>
      <c r="G233" s="13"/>
      <c r="H233" s="13">
        <f>E233+F233-G233</f>
        <v>15200</v>
      </c>
    </row>
    <row r="234" spans="1:8" ht="15.75">
      <c r="A234" s="9">
        <v>926</v>
      </c>
      <c r="B234" s="10"/>
      <c r="C234" s="11"/>
      <c r="D234" s="12" t="s">
        <v>89</v>
      </c>
      <c r="E234" s="13">
        <f>E237+E241+E235</f>
        <v>756577</v>
      </c>
      <c r="F234" s="13">
        <f>F237+F241+F235</f>
        <v>0</v>
      </c>
      <c r="G234" s="13">
        <f>G237+G241+G235</f>
        <v>0</v>
      </c>
      <c r="H234" s="13">
        <f>H237+H241+H235</f>
        <v>756577</v>
      </c>
    </row>
    <row r="235" spans="1:8" ht="15.75">
      <c r="A235" s="9"/>
      <c r="B235" s="10">
        <v>92601</v>
      </c>
      <c r="C235" s="11"/>
      <c r="D235" s="12" t="s">
        <v>181</v>
      </c>
      <c r="E235" s="13">
        <f>SUM(E236)</f>
        <v>54735</v>
      </c>
      <c r="F235" s="13">
        <f>SUM(F236)</f>
        <v>0</v>
      </c>
      <c r="G235" s="13">
        <f>SUM(G236)</f>
        <v>0</v>
      </c>
      <c r="H235" s="13">
        <f>SUM(H236)</f>
        <v>54735</v>
      </c>
    </row>
    <row r="236" spans="1:8" ht="47.25">
      <c r="A236" s="9"/>
      <c r="B236" s="10"/>
      <c r="C236" s="11">
        <v>2710</v>
      </c>
      <c r="D236" s="12" t="s">
        <v>481</v>
      </c>
      <c r="E236" s="13">
        <v>54735</v>
      </c>
      <c r="F236" s="13"/>
      <c r="G236" s="13"/>
      <c r="H236" s="13">
        <f>E236+F236-G236</f>
        <v>54735</v>
      </c>
    </row>
    <row r="237" spans="1:8" ht="15.75">
      <c r="A237" s="9"/>
      <c r="B237" s="10">
        <v>92604</v>
      </c>
      <c r="C237" s="11"/>
      <c r="D237" s="12" t="s">
        <v>90</v>
      </c>
      <c r="E237" s="13">
        <f>SUM(E238:E240)</f>
        <v>572249</v>
      </c>
      <c r="F237" s="13">
        <f>SUM(F238:F240)</f>
        <v>0</v>
      </c>
      <c r="G237" s="13">
        <f>SUM(G238:G240)</f>
        <v>0</v>
      </c>
      <c r="H237" s="13">
        <f>SUM(H238:H240)</f>
        <v>572249</v>
      </c>
    </row>
    <row r="238" spans="1:8" ht="15.75">
      <c r="A238" s="9"/>
      <c r="B238" s="10"/>
      <c r="C238" s="11">
        <v>830</v>
      </c>
      <c r="D238" s="12" t="s">
        <v>25</v>
      </c>
      <c r="E238" s="13">
        <f>270000+150000+150000</f>
        <v>570000</v>
      </c>
      <c r="F238" s="13"/>
      <c r="G238" s="13"/>
      <c r="H238" s="13">
        <f>E238+F238-G238</f>
        <v>570000</v>
      </c>
    </row>
    <row r="239" spans="1:8" ht="15.75">
      <c r="A239" s="9"/>
      <c r="B239" s="10"/>
      <c r="C239" s="11">
        <v>920</v>
      </c>
      <c r="D239" s="12" t="s">
        <v>20</v>
      </c>
      <c r="E239" s="13">
        <v>2029</v>
      </c>
      <c r="F239" s="13"/>
      <c r="G239" s="13"/>
      <c r="H239" s="13">
        <f>E239+F239-G239</f>
        <v>2029</v>
      </c>
    </row>
    <row r="240" spans="1:8" ht="15.75">
      <c r="A240" s="9"/>
      <c r="B240" s="10"/>
      <c r="C240" s="70">
        <v>940</v>
      </c>
      <c r="D240" s="71" t="s">
        <v>337</v>
      </c>
      <c r="E240" s="13">
        <f>220</f>
        <v>220</v>
      </c>
      <c r="F240" s="13"/>
      <c r="G240" s="13"/>
      <c r="H240" s="13">
        <f>E240+F240-G240</f>
        <v>220</v>
      </c>
    </row>
    <row r="241" spans="1:8" ht="15.75">
      <c r="A241" s="9"/>
      <c r="B241" s="10">
        <v>92695</v>
      </c>
      <c r="C241" s="11"/>
      <c r="D241" s="12" t="s">
        <v>8</v>
      </c>
      <c r="E241" s="13">
        <f>SUM(E242:E243)</f>
        <v>129593</v>
      </c>
      <c r="F241" s="13">
        <f>SUM(F242:F243)</f>
        <v>0</v>
      </c>
      <c r="G241" s="13">
        <f>SUM(G242:G243)</f>
        <v>0</v>
      </c>
      <c r="H241" s="13">
        <f>SUM(H242:H243)</f>
        <v>129593</v>
      </c>
    </row>
    <row r="242" spans="1:8" ht="31.5">
      <c r="A242" s="9"/>
      <c r="B242" s="10"/>
      <c r="C242" s="11">
        <v>2310</v>
      </c>
      <c r="D242" s="12" t="s">
        <v>61</v>
      </c>
      <c r="E242" s="13">
        <v>20000</v>
      </c>
      <c r="F242" s="13"/>
      <c r="G242" s="13"/>
      <c r="H242" s="13">
        <f>E242+F242-G242</f>
        <v>20000</v>
      </c>
    </row>
    <row r="243" spans="1:8" ht="47.25">
      <c r="A243" s="9"/>
      <c r="B243" s="10"/>
      <c r="C243" s="11">
        <v>6260</v>
      </c>
      <c r="D243" s="12" t="s">
        <v>496</v>
      </c>
      <c r="E243" s="13">
        <v>109593</v>
      </c>
      <c r="F243" s="13"/>
      <c r="G243" s="13"/>
      <c r="H243" s="13">
        <f>E243+F243-G243</f>
        <v>109593</v>
      </c>
    </row>
    <row r="244" spans="1:8" ht="15.75">
      <c r="A244" s="9"/>
      <c r="B244" s="10"/>
      <c r="C244" s="11"/>
      <c r="D244" s="12" t="s">
        <v>91</v>
      </c>
      <c r="E244" s="13">
        <f>E6+E11+E14+E31+E49+E61+E68+E73+E104+E111+E149+E188+E207+E223+E234+E179+E145+E184</f>
        <v>286056119.12</v>
      </c>
      <c r="F244" s="13">
        <f>F6+F11+F14+F31+F49+F61+F68+F73+F104+F111+F149+F188+F207+F223+F234+F179+F145+F184</f>
        <v>1374473.14</v>
      </c>
      <c r="G244" s="13">
        <f>G6+G11+G14+G31+G49+G61+G68+G73+G104+G111+G149+G188+G207+G223+G234+G179+G145+G184</f>
        <v>3273599.34</v>
      </c>
      <c r="H244" s="13">
        <f>H6+H11+H14+H31+H49+H61+H68+H73+H104+H111+H149+H188+H207+H223+H234+H179+H145+H184</f>
        <v>284156992.91999996</v>
      </c>
    </row>
    <row r="246" spans="1:8">
      <c r="F246" s="403"/>
      <c r="H246" s="403"/>
    </row>
    <row r="247" spans="1:8">
      <c r="F247" s="403"/>
    </row>
    <row r="248" spans="1:8">
      <c r="F248" s="403"/>
    </row>
  </sheetData>
  <mergeCells count="1">
    <mergeCell ref="A1:H1"/>
  </mergeCells>
  <conditionalFormatting sqref="A243:E1035">
    <cfRule type="expression" dxfId="322" priority="31" stopIfTrue="1">
      <formula>$D243 = "OGÓŁEM:"</formula>
    </cfRule>
    <cfRule type="expression" dxfId="321" priority="32" stopIfTrue="1">
      <formula>LEN($A243)&gt;1</formula>
    </cfRule>
    <cfRule type="expression" dxfId="320" priority="33" stopIfTrue="1">
      <formula>LEN($B243)&gt;1</formula>
    </cfRule>
  </conditionalFormatting>
  <conditionalFormatting sqref="A6:H242">
    <cfRule type="expression" dxfId="319" priority="1" stopIfTrue="1">
      <formula>$D6 = "OGÓŁEM:"</formula>
    </cfRule>
    <cfRule type="expression" dxfId="318" priority="2" stopIfTrue="1">
      <formula>LEN($A6)&gt;1</formula>
    </cfRule>
    <cfRule type="expression" dxfId="317" priority="3" stopIfTrue="1">
      <formula>LEN($B6)&gt;1</formula>
    </cfRule>
  </conditionalFormatting>
  <conditionalFormatting sqref="F243:H244">
    <cfRule type="expression" dxfId="316" priority="64" stopIfTrue="1">
      <formula>$D243 = "OGÓŁEM:"</formula>
    </cfRule>
    <cfRule type="expression" dxfId="315" priority="65" stopIfTrue="1">
      <formula>LEN($A243)&gt;1</formula>
    </cfRule>
    <cfRule type="expression" dxfId="314" priority="66" stopIfTrue="1">
      <formula>LEN($B243)&gt;1</formula>
    </cfRule>
  </conditionalFormatting>
  <pageMargins left="0.31496062992125984" right="0.31496062992125984" top="1.1417322834645669" bottom="0.55118110236220474" header="0.31496062992125984" footer="0.31496062992125984"/>
  <pageSetup paperSize="9" scale="58" fitToHeight="0" orientation="portrait" r:id="rId1"/>
  <headerFooter>
    <oddHeader xml:space="preserve">&amp;RZałącznik Nr 1
do Uchwały Nr XII/.../2024 
Rady Gminy Komorniki z dnia 28 listopada 2024r.    
w sprawie uchwały budżetowej na 2024r.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FE1B-1064-4B82-80F0-4CA244CC53E8}">
  <dimension ref="A1:F128"/>
  <sheetViews>
    <sheetView topLeftCell="A94" workbookViewId="0">
      <selection activeCell="B128" sqref="B128"/>
    </sheetView>
  </sheetViews>
  <sheetFormatPr defaultRowHeight="15"/>
  <cols>
    <col min="1" max="1" width="6.140625" customWidth="1"/>
    <col min="2" max="2" width="8.5703125" customWidth="1"/>
    <col min="3" max="3" width="6.5703125" customWidth="1"/>
    <col min="4" max="4" width="55" customWidth="1"/>
    <col min="5" max="5" width="16" customWidth="1"/>
    <col min="6" max="6" width="12.140625" customWidth="1"/>
  </cols>
  <sheetData>
    <row r="1" spans="1:6">
      <c r="A1" s="308"/>
    </row>
    <row r="2" spans="1:6">
      <c r="A2" s="308"/>
    </row>
    <row r="3" spans="1:6">
      <c r="A3" s="308"/>
    </row>
    <row r="4" spans="1:6">
      <c r="A4" s="308"/>
    </row>
    <row r="5" spans="1:6">
      <c r="A5" s="544" t="s">
        <v>357</v>
      </c>
      <c r="B5" s="501"/>
      <c r="C5" s="501"/>
      <c r="D5" s="501"/>
      <c r="E5" s="501"/>
      <c r="F5" s="501"/>
    </row>
    <row r="6" spans="1:6" ht="15.75" thickBot="1">
      <c r="A6" s="310"/>
    </row>
    <row r="7" spans="1:6">
      <c r="A7" s="311"/>
      <c r="B7" s="312"/>
      <c r="C7" s="312"/>
      <c r="D7" s="545" t="s">
        <v>358</v>
      </c>
      <c r="E7" s="546"/>
      <c r="F7" s="312"/>
    </row>
    <row r="8" spans="1:6" ht="15.75" thickBot="1">
      <c r="A8" s="328" t="s">
        <v>359</v>
      </c>
      <c r="B8" s="313" t="s">
        <v>360</v>
      </c>
      <c r="C8" s="313" t="s">
        <v>2</v>
      </c>
      <c r="D8" s="547"/>
      <c r="E8" s="548"/>
      <c r="F8" s="313" t="s">
        <v>197</v>
      </c>
    </row>
    <row r="9" spans="1:6" ht="15.75" thickBot="1">
      <c r="A9" s="315">
        <v>1</v>
      </c>
      <c r="B9" s="316">
        <v>2</v>
      </c>
      <c r="C9" s="316">
        <v>3</v>
      </c>
      <c r="D9" s="549">
        <v>4</v>
      </c>
      <c r="E9" s="550"/>
      <c r="F9" s="316">
        <v>5</v>
      </c>
    </row>
    <row r="10" spans="1:6" ht="15.75">
      <c r="A10" s="317"/>
      <c r="B10" s="318"/>
      <c r="C10" s="318" t="s">
        <v>355</v>
      </c>
      <c r="D10" s="545" t="s">
        <v>361</v>
      </c>
      <c r="E10" s="551"/>
      <c r="F10" s="320" t="s">
        <v>356</v>
      </c>
    </row>
    <row r="11" spans="1:6" ht="42" customHeight="1">
      <c r="A11" s="321">
        <v>750</v>
      </c>
      <c r="B11" s="322">
        <v>75095</v>
      </c>
      <c r="C11" s="323">
        <v>6207</v>
      </c>
      <c r="D11" s="540" t="s">
        <v>362</v>
      </c>
      <c r="E11" s="541"/>
      <c r="F11" s="324">
        <f>756500-529550+271307</f>
        <v>498257</v>
      </c>
    </row>
    <row r="12" spans="1:6" ht="39" customHeight="1">
      <c r="A12" s="321"/>
      <c r="B12" s="322"/>
      <c r="C12" s="323">
        <v>6209</v>
      </c>
      <c r="D12" s="540" t="s">
        <v>362</v>
      </c>
      <c r="E12" s="541"/>
      <c r="F12" s="324">
        <f>93500-65450</f>
        <v>28050</v>
      </c>
    </row>
    <row r="13" spans="1:6">
      <c r="A13" s="321"/>
      <c r="B13" s="322"/>
      <c r="C13" s="323"/>
      <c r="D13" s="542" t="s">
        <v>396</v>
      </c>
      <c r="E13" s="543"/>
      <c r="F13" s="324"/>
    </row>
    <row r="14" spans="1:6" ht="38.25" customHeight="1">
      <c r="A14" s="321">
        <v>801</v>
      </c>
      <c r="B14" s="322">
        <v>80195</v>
      </c>
      <c r="C14" s="323">
        <v>2057</v>
      </c>
      <c r="D14" s="540" t="s">
        <v>362</v>
      </c>
      <c r="E14" s="541"/>
      <c r="F14" s="324">
        <f>113717-14214</f>
        <v>99503</v>
      </c>
    </row>
    <row r="15" spans="1:6" ht="38.25" customHeight="1">
      <c r="A15" s="321"/>
      <c r="B15" s="322"/>
      <c r="C15" s="323">
        <v>2059</v>
      </c>
      <c r="D15" s="540" t="s">
        <v>362</v>
      </c>
      <c r="E15" s="541"/>
      <c r="F15" s="324">
        <v>14214</v>
      </c>
    </row>
    <row r="16" spans="1:6" ht="38.25" customHeight="1">
      <c r="A16" s="321"/>
      <c r="B16" s="322"/>
      <c r="C16" s="323">
        <v>6257</v>
      </c>
      <c r="D16" s="540" t="s">
        <v>362</v>
      </c>
      <c r="E16" s="541"/>
      <c r="F16" s="324">
        <v>94400</v>
      </c>
    </row>
    <row r="17" spans="1:6">
      <c r="A17" s="321"/>
      <c r="B17" s="322"/>
      <c r="C17" s="323"/>
      <c r="D17" s="542" t="s">
        <v>423</v>
      </c>
      <c r="E17" s="543"/>
      <c r="F17" s="324"/>
    </row>
    <row r="18" spans="1:6" ht="38.25" customHeight="1">
      <c r="A18" s="321">
        <v>750</v>
      </c>
      <c r="B18" s="322">
        <v>75095</v>
      </c>
      <c r="C18" s="323">
        <v>6057</v>
      </c>
      <c r="D18" s="540" t="s">
        <v>362</v>
      </c>
      <c r="E18" s="541"/>
      <c r="F18" s="324"/>
    </row>
    <row r="19" spans="1:6">
      <c r="A19" s="321"/>
      <c r="B19" s="322"/>
      <c r="C19" s="323"/>
      <c r="D19" s="542" t="s">
        <v>424</v>
      </c>
      <c r="E19" s="543"/>
      <c r="F19" s="324"/>
    </row>
    <row r="20" spans="1:6" ht="39" customHeight="1">
      <c r="A20" s="321">
        <v>600</v>
      </c>
      <c r="B20" s="322">
        <v>60095</v>
      </c>
      <c r="C20" s="323">
        <v>6207</v>
      </c>
      <c r="D20" s="540" t="s">
        <v>392</v>
      </c>
      <c r="E20" s="541"/>
      <c r="F20" s="333">
        <v>251319</v>
      </c>
    </row>
    <row r="21" spans="1:6">
      <c r="A21" s="321"/>
      <c r="B21" s="322"/>
      <c r="C21" s="323"/>
      <c r="D21" s="542" t="s">
        <v>425</v>
      </c>
      <c r="E21" s="543"/>
      <c r="F21" s="333"/>
    </row>
    <row r="22" spans="1:6" ht="39" customHeight="1">
      <c r="A22" s="321">
        <v>750</v>
      </c>
      <c r="B22" s="322">
        <v>75095</v>
      </c>
      <c r="C22" s="323">
        <v>6257</v>
      </c>
      <c r="D22" s="540" t="s">
        <v>362</v>
      </c>
      <c r="E22" s="541"/>
      <c r="F22" s="333">
        <v>207825</v>
      </c>
    </row>
    <row r="23" spans="1:6">
      <c r="A23" s="321"/>
      <c r="B23" s="322"/>
      <c r="C23" s="323"/>
      <c r="D23" s="542" t="s">
        <v>426</v>
      </c>
      <c r="E23" s="543"/>
      <c r="F23" s="333"/>
    </row>
    <row r="24" spans="1:6" ht="50.25" customHeight="1">
      <c r="A24" s="321">
        <v>900</v>
      </c>
      <c r="B24" s="322">
        <v>90005</v>
      </c>
      <c r="C24" s="323">
        <v>2057</v>
      </c>
      <c r="D24" s="540" t="s">
        <v>362</v>
      </c>
      <c r="E24" s="541"/>
      <c r="F24" s="324">
        <v>80217</v>
      </c>
    </row>
    <row r="25" spans="1:6" ht="14.25" customHeight="1">
      <c r="A25" s="321"/>
      <c r="B25" s="322"/>
      <c r="C25" s="323"/>
      <c r="D25" s="542" t="s">
        <v>453</v>
      </c>
      <c r="E25" s="543"/>
      <c r="F25" s="324"/>
    </row>
    <row r="26" spans="1:6" ht="38.25" customHeight="1">
      <c r="A26" s="321">
        <v>852</v>
      </c>
      <c r="B26" s="322">
        <v>85232</v>
      </c>
      <c r="C26" s="323">
        <v>2057</v>
      </c>
      <c r="D26" s="540" t="s">
        <v>362</v>
      </c>
      <c r="E26" s="541"/>
      <c r="F26" s="324">
        <v>3000</v>
      </c>
    </row>
    <row r="27" spans="1:6" ht="50.25" customHeight="1">
      <c r="A27" s="321"/>
      <c r="B27" s="322"/>
      <c r="C27" s="323">
        <v>6257</v>
      </c>
      <c r="D27" s="540" t="s">
        <v>362</v>
      </c>
      <c r="E27" s="541"/>
      <c r="F27" s="324">
        <v>167000</v>
      </c>
    </row>
    <row r="28" spans="1:6" ht="14.25" customHeight="1">
      <c r="A28" s="455"/>
      <c r="B28" s="456"/>
      <c r="C28" s="431"/>
      <c r="D28" s="556" t="s">
        <v>483</v>
      </c>
      <c r="E28" s="557"/>
      <c r="F28" s="457"/>
    </row>
    <row r="29" spans="1:6" ht="43.5" customHeight="1">
      <c r="A29" s="455">
        <v>900</v>
      </c>
      <c r="B29" s="456">
        <v>90095</v>
      </c>
      <c r="C29" s="431">
        <v>6257</v>
      </c>
      <c r="D29" s="558" t="s">
        <v>362</v>
      </c>
      <c r="E29" s="559"/>
      <c r="F29" s="457">
        <v>3530703</v>
      </c>
    </row>
    <row r="30" spans="1:6" ht="15.75" thickBot="1">
      <c r="A30" s="458"/>
      <c r="B30" s="459"/>
      <c r="C30" s="459"/>
      <c r="D30" s="552"/>
      <c r="E30" s="553"/>
      <c r="F30" s="460"/>
    </row>
    <row r="31" spans="1:6">
      <c r="A31" s="325"/>
      <c r="B31" s="325"/>
      <c r="C31" s="325"/>
      <c r="D31" s="325"/>
      <c r="E31" s="326"/>
    </row>
    <row r="32" spans="1:6">
      <c r="A32" s="399" t="s">
        <v>427</v>
      </c>
      <c r="B32" s="554" t="s">
        <v>428</v>
      </c>
      <c r="C32" s="539"/>
      <c r="D32" s="539"/>
      <c r="E32" s="539"/>
    </row>
    <row r="33" spans="1:6">
      <c r="A33" s="399" t="s">
        <v>429</v>
      </c>
      <c r="B33" s="554" t="s">
        <v>432</v>
      </c>
      <c r="C33" s="554"/>
      <c r="D33" s="554"/>
      <c r="E33" s="326"/>
    </row>
    <row r="34" spans="1:6">
      <c r="A34" s="399" t="s">
        <v>430</v>
      </c>
      <c r="B34" s="555" t="s">
        <v>447</v>
      </c>
      <c r="C34" s="555"/>
      <c r="D34" s="555"/>
      <c r="E34" s="326"/>
    </row>
    <row r="35" spans="1:6">
      <c r="A35" s="399" t="s">
        <v>431</v>
      </c>
      <c r="B35" s="555" t="s">
        <v>448</v>
      </c>
      <c r="C35" s="555"/>
      <c r="D35" s="555"/>
      <c r="E35" s="326"/>
    </row>
    <row r="36" spans="1:6">
      <c r="A36" s="325" t="s">
        <v>484</v>
      </c>
      <c r="B36" s="555" t="s">
        <v>502</v>
      </c>
      <c r="C36" s="555"/>
      <c r="D36" s="555"/>
      <c r="E36" s="326"/>
    </row>
    <row r="37" spans="1:6">
      <c r="A37" s="325"/>
      <c r="B37" s="325"/>
      <c r="C37" s="325"/>
      <c r="D37" s="325"/>
      <c r="E37" s="326"/>
    </row>
    <row r="38" spans="1:6">
      <c r="A38" s="325"/>
      <c r="B38" s="325"/>
      <c r="C38" s="325"/>
      <c r="D38" s="325"/>
      <c r="E38" s="326"/>
    </row>
    <row r="39" spans="1:6">
      <c r="A39" s="325"/>
      <c r="B39" s="325"/>
      <c r="C39" s="325"/>
      <c r="D39" s="325"/>
      <c r="E39" s="326"/>
    </row>
    <row r="40" spans="1:6">
      <c r="A40" s="325"/>
      <c r="B40" s="325"/>
      <c r="C40" s="325"/>
      <c r="D40" s="325"/>
      <c r="E40" s="326"/>
    </row>
    <row r="41" spans="1:6">
      <c r="A41" s="325"/>
      <c r="B41" s="325"/>
      <c r="C41" s="325"/>
      <c r="D41" s="325"/>
      <c r="E41" s="326"/>
    </row>
    <row r="42" spans="1:6">
      <c r="A42" s="325"/>
      <c r="B42" s="325"/>
      <c r="C42" s="325"/>
      <c r="D42" s="325"/>
      <c r="E42" s="326"/>
    </row>
    <row r="43" spans="1:6">
      <c r="A43" s="325"/>
      <c r="B43" s="325"/>
      <c r="C43" s="325"/>
      <c r="D43" s="325"/>
      <c r="E43" s="326"/>
    </row>
    <row r="44" spans="1:6" ht="15.75">
      <c r="A44" s="327" t="s">
        <v>363</v>
      </c>
    </row>
    <row r="45" spans="1:6" ht="16.5" thickBot="1">
      <c r="A45" s="309"/>
    </row>
    <row r="46" spans="1:6">
      <c r="A46" s="406"/>
      <c r="B46" s="407"/>
      <c r="C46" s="419"/>
      <c r="D46" s="406" t="s">
        <v>366</v>
      </c>
      <c r="E46" s="533" t="s">
        <v>364</v>
      </c>
      <c r="F46" s="536" t="s">
        <v>365</v>
      </c>
    </row>
    <row r="47" spans="1:6">
      <c r="A47" s="408" t="s">
        <v>359</v>
      </c>
      <c r="B47" s="409" t="s">
        <v>360</v>
      </c>
      <c r="C47" s="418" t="s">
        <v>2</v>
      </c>
      <c r="D47" s="408" t="s">
        <v>367</v>
      </c>
      <c r="E47" s="534"/>
      <c r="F47" s="537"/>
    </row>
    <row r="48" spans="1:6" ht="6.75" customHeight="1" thickBot="1">
      <c r="A48" s="410"/>
      <c r="B48" s="411"/>
      <c r="C48" s="420"/>
      <c r="D48" s="412"/>
      <c r="E48" s="535"/>
      <c r="F48" s="538"/>
    </row>
    <row r="49" spans="1:6" ht="12" customHeight="1" thickBot="1">
      <c r="A49" s="413">
        <v>1</v>
      </c>
      <c r="B49" s="414">
        <v>2</v>
      </c>
      <c r="C49" s="414">
        <v>3</v>
      </c>
      <c r="D49" s="414">
        <v>4</v>
      </c>
      <c r="E49" s="414">
        <v>5</v>
      </c>
      <c r="F49" s="414">
        <v>6</v>
      </c>
    </row>
    <row r="50" spans="1:6">
      <c r="A50" s="330"/>
      <c r="B50" s="331"/>
      <c r="C50" s="331"/>
      <c r="D50" s="395" t="s">
        <v>433</v>
      </c>
      <c r="E50" s="330"/>
      <c r="F50" s="319"/>
    </row>
    <row r="51" spans="1:6">
      <c r="A51" s="332">
        <v>750</v>
      </c>
      <c r="B51" s="323">
        <v>75095</v>
      </c>
      <c r="C51" s="323">
        <v>6067</v>
      </c>
      <c r="D51" s="491" t="s">
        <v>397</v>
      </c>
      <c r="E51" s="396" t="s">
        <v>368</v>
      </c>
      <c r="F51" s="333">
        <f>756500-529550+271307</f>
        <v>498257</v>
      </c>
    </row>
    <row r="52" spans="1:6">
      <c r="A52" s="332"/>
      <c r="B52" s="323"/>
      <c r="C52" s="323">
        <v>6069</v>
      </c>
      <c r="D52" s="491" t="s">
        <v>369</v>
      </c>
      <c r="E52" s="396" t="s">
        <v>370</v>
      </c>
      <c r="F52" s="334">
        <f>255404-65450</f>
        <v>189954</v>
      </c>
    </row>
    <row r="53" spans="1:6" ht="16.5" customHeight="1">
      <c r="A53" s="332"/>
      <c r="B53" s="323"/>
      <c r="C53" s="323"/>
      <c r="D53" s="491" t="s">
        <v>371</v>
      </c>
      <c r="E53" s="396"/>
      <c r="F53" s="417">
        <f>SUM(F51:F52)</f>
        <v>688211</v>
      </c>
    </row>
    <row r="54" spans="1:6">
      <c r="A54" s="332"/>
      <c r="B54" s="323"/>
      <c r="C54" s="323"/>
      <c r="D54" s="492" t="s">
        <v>372</v>
      </c>
      <c r="E54" s="396"/>
      <c r="F54" s="333"/>
    </row>
    <row r="55" spans="1:6">
      <c r="A55" s="332"/>
      <c r="B55" s="323"/>
      <c r="C55" s="323"/>
      <c r="D55" s="491" t="s">
        <v>373</v>
      </c>
      <c r="E55" s="396"/>
      <c r="F55" s="333"/>
    </row>
    <row r="56" spans="1:6" ht="8.25" customHeight="1">
      <c r="A56" s="332"/>
      <c r="B56" s="323"/>
      <c r="C56" s="323"/>
      <c r="D56" s="493"/>
      <c r="E56" s="396"/>
      <c r="F56" s="333"/>
    </row>
    <row r="57" spans="1:6">
      <c r="A57" s="332"/>
      <c r="B57" s="323"/>
      <c r="C57" s="323"/>
      <c r="D57" s="492" t="s">
        <v>374</v>
      </c>
      <c r="E57" s="396"/>
      <c r="F57" s="335"/>
    </row>
    <row r="58" spans="1:6">
      <c r="A58" s="332"/>
      <c r="B58" s="323"/>
      <c r="C58" s="323"/>
      <c r="D58" s="491" t="s">
        <v>375</v>
      </c>
      <c r="E58" s="396"/>
      <c r="F58" s="335"/>
    </row>
    <row r="59" spans="1:6">
      <c r="A59" s="332"/>
      <c r="B59" s="323"/>
      <c r="C59" s="323"/>
      <c r="D59" s="491" t="s">
        <v>376</v>
      </c>
      <c r="E59" s="396"/>
      <c r="F59" s="336"/>
    </row>
    <row r="60" spans="1:6">
      <c r="A60" s="332"/>
      <c r="B60" s="323"/>
      <c r="C60" s="323"/>
      <c r="D60" s="491" t="s">
        <v>438</v>
      </c>
      <c r="E60" s="396"/>
      <c r="F60" s="335"/>
    </row>
    <row r="61" spans="1:6">
      <c r="A61" s="332"/>
      <c r="B61" s="323"/>
      <c r="C61" s="323"/>
      <c r="D61" s="491" t="s">
        <v>437</v>
      </c>
      <c r="E61" s="396"/>
      <c r="F61" s="335"/>
    </row>
    <row r="62" spans="1:6" ht="7.5" customHeight="1">
      <c r="A62" s="332"/>
      <c r="B62" s="323"/>
      <c r="C62" s="323"/>
      <c r="D62" s="491"/>
      <c r="E62" s="396"/>
      <c r="F62" s="335"/>
    </row>
    <row r="63" spans="1:6">
      <c r="A63" s="476"/>
      <c r="B63" s="477"/>
      <c r="C63" s="431"/>
      <c r="D63" s="494" t="s">
        <v>434</v>
      </c>
      <c r="E63" s="478"/>
      <c r="F63" s="479"/>
    </row>
    <row r="64" spans="1:6">
      <c r="A64" s="482">
        <v>801</v>
      </c>
      <c r="B64" s="431">
        <v>80195</v>
      </c>
      <c r="C64" s="431">
        <v>4117</v>
      </c>
      <c r="D64" s="371" t="s">
        <v>415</v>
      </c>
      <c r="E64" s="432"/>
      <c r="F64" s="433">
        <f>1142.17-625.86</f>
        <v>516.31000000000006</v>
      </c>
    </row>
    <row r="65" spans="1:6">
      <c r="A65" s="482"/>
      <c r="B65" s="431"/>
      <c r="C65" s="431">
        <v>4127</v>
      </c>
      <c r="D65" s="492" t="s">
        <v>372</v>
      </c>
      <c r="E65" s="432"/>
      <c r="F65" s="433">
        <f>163.2-89.61</f>
        <v>73.589999999999989</v>
      </c>
    </row>
    <row r="66" spans="1:6">
      <c r="A66" s="482"/>
      <c r="B66" s="431"/>
      <c r="C66" s="431">
        <v>4307</v>
      </c>
      <c r="D66" s="362" t="s">
        <v>416</v>
      </c>
      <c r="E66" s="432"/>
      <c r="F66" s="433">
        <f>113717-15616.88-14025.85+11509.68</f>
        <v>95583.949999999983</v>
      </c>
    </row>
    <row r="67" spans="1:6">
      <c r="A67" s="480"/>
      <c r="B67" s="481"/>
      <c r="C67" s="431">
        <v>4797</v>
      </c>
      <c r="D67" s="491" t="s">
        <v>417</v>
      </c>
      <c r="E67" s="434"/>
      <c r="F67" s="433">
        <f>6661.51-3657.61</f>
        <v>3003.9</v>
      </c>
    </row>
    <row r="68" spans="1:6">
      <c r="A68" s="480"/>
      <c r="B68" s="481"/>
      <c r="C68" s="431">
        <v>6057</v>
      </c>
      <c r="D68" s="491" t="s">
        <v>418</v>
      </c>
      <c r="E68" s="434"/>
      <c r="F68" s="433">
        <f>94400-11846.37+371</f>
        <v>82924.63</v>
      </c>
    </row>
    <row r="69" spans="1:6">
      <c r="A69" s="480"/>
      <c r="B69" s="481"/>
      <c r="C69" s="431">
        <v>4119</v>
      </c>
      <c r="D69" s="491"/>
      <c r="E69" s="434"/>
      <c r="F69" s="433">
        <f>3365.55+73.76</f>
        <v>3439.3100000000004</v>
      </c>
    </row>
    <row r="70" spans="1:6">
      <c r="A70" s="480"/>
      <c r="B70" s="481"/>
      <c r="C70" s="431">
        <v>4129</v>
      </c>
      <c r="D70" s="492" t="s">
        <v>374</v>
      </c>
      <c r="E70" s="434"/>
      <c r="F70" s="433">
        <f>487.04+10.51</f>
        <v>497.55</v>
      </c>
    </row>
    <row r="71" spans="1:6">
      <c r="A71" s="480"/>
      <c r="B71" s="481"/>
      <c r="C71" s="431">
        <v>4179</v>
      </c>
      <c r="D71" s="362" t="s">
        <v>419</v>
      </c>
      <c r="E71" s="434"/>
      <c r="F71" s="433">
        <v>19879.22</v>
      </c>
    </row>
    <row r="72" spans="1:6">
      <c r="A72" s="480"/>
      <c r="B72" s="481"/>
      <c r="C72" s="431">
        <v>4719</v>
      </c>
      <c r="D72" s="362" t="s">
        <v>416</v>
      </c>
      <c r="E72" s="432"/>
      <c r="F72" s="433">
        <v>298.19</v>
      </c>
    </row>
    <row r="73" spans="1:6">
      <c r="A73" s="480"/>
      <c r="B73" s="481"/>
      <c r="C73" s="431">
        <v>4309</v>
      </c>
      <c r="D73" s="362" t="s">
        <v>420</v>
      </c>
      <c r="E73" s="432"/>
      <c r="F73" s="433">
        <f>28000+13654.85</f>
        <v>41654.85</v>
      </c>
    </row>
    <row r="74" spans="1:6">
      <c r="A74" s="480"/>
      <c r="B74" s="481"/>
      <c r="C74" s="447">
        <v>4799</v>
      </c>
      <c r="D74" s="491" t="s">
        <v>436</v>
      </c>
      <c r="E74" s="434"/>
      <c r="F74" s="433">
        <v>429.13</v>
      </c>
    </row>
    <row r="75" spans="1:6">
      <c r="A75" s="480"/>
      <c r="B75" s="481"/>
      <c r="C75" s="447">
        <v>6059</v>
      </c>
      <c r="D75" s="362" t="s">
        <v>421</v>
      </c>
      <c r="E75" s="434"/>
      <c r="F75" s="435">
        <v>11846.37</v>
      </c>
    </row>
    <row r="76" spans="1:6">
      <c r="A76" s="480"/>
      <c r="B76" s="481"/>
      <c r="C76" s="447"/>
      <c r="D76" s="362"/>
      <c r="E76" s="434"/>
      <c r="F76" s="483">
        <f>SUM(F62:F75)</f>
        <v>260146.99999999997</v>
      </c>
    </row>
    <row r="77" spans="1:6" ht="9" customHeight="1">
      <c r="A77" s="337"/>
      <c r="B77" s="338"/>
      <c r="C77" s="339"/>
      <c r="D77" s="489"/>
      <c r="E77" s="397"/>
      <c r="F77" s="394"/>
    </row>
    <row r="78" spans="1:6">
      <c r="A78" s="337"/>
      <c r="B78" s="338"/>
      <c r="C78" s="339"/>
      <c r="D78" s="494" t="s">
        <v>435</v>
      </c>
      <c r="E78" s="397"/>
      <c r="F78" s="394"/>
    </row>
    <row r="79" spans="1:6">
      <c r="A79" s="332">
        <v>750</v>
      </c>
      <c r="B79" s="323">
        <v>75095</v>
      </c>
      <c r="C79" s="323">
        <v>4309</v>
      </c>
      <c r="D79" s="495" t="s">
        <v>415</v>
      </c>
      <c r="E79" s="396" t="s">
        <v>368</v>
      </c>
      <c r="F79" s="404">
        <f>30000+7000</f>
        <v>37000</v>
      </c>
    </row>
    <row r="80" spans="1:6">
      <c r="A80" s="337"/>
      <c r="B80" s="338"/>
      <c r="C80" s="339"/>
      <c r="D80" s="492" t="s">
        <v>372</v>
      </c>
      <c r="E80" s="396" t="s">
        <v>370</v>
      </c>
      <c r="F80" s="394"/>
    </row>
    <row r="81" spans="1:6">
      <c r="A81" s="337"/>
      <c r="B81" s="338"/>
      <c r="C81" s="339"/>
      <c r="D81" s="362" t="s">
        <v>504</v>
      </c>
      <c r="E81" s="397"/>
      <c r="F81" s="394"/>
    </row>
    <row r="82" spans="1:6">
      <c r="A82" s="337"/>
      <c r="B82" s="338"/>
      <c r="C82" s="339"/>
      <c r="D82" s="362" t="s">
        <v>505</v>
      </c>
      <c r="E82" s="397"/>
      <c r="F82" s="394"/>
    </row>
    <row r="83" spans="1:6" ht="8.25" customHeight="1">
      <c r="A83" s="337"/>
      <c r="B83" s="338"/>
      <c r="C83" s="339"/>
      <c r="D83" s="489"/>
      <c r="E83" s="397"/>
      <c r="F83" s="394"/>
    </row>
    <row r="84" spans="1:6">
      <c r="A84" s="337"/>
      <c r="B84" s="338"/>
      <c r="C84" s="339"/>
      <c r="D84" s="492" t="s">
        <v>374</v>
      </c>
      <c r="E84" s="397"/>
      <c r="F84" s="394"/>
    </row>
    <row r="85" spans="1:6">
      <c r="A85" s="337"/>
      <c r="B85" s="338"/>
      <c r="C85" s="339"/>
      <c r="D85" s="489" t="s">
        <v>441</v>
      </c>
      <c r="E85" s="397"/>
      <c r="F85" s="394"/>
    </row>
    <row r="86" spans="1:6">
      <c r="A86" s="337"/>
      <c r="B86" s="338"/>
      <c r="C86" s="339"/>
      <c r="D86" s="489" t="s">
        <v>444</v>
      </c>
      <c r="E86" s="397"/>
      <c r="F86" s="394"/>
    </row>
    <row r="87" spans="1:6">
      <c r="A87" s="337"/>
      <c r="B87" s="338"/>
      <c r="C87" s="339"/>
      <c r="D87" s="489" t="s">
        <v>442</v>
      </c>
      <c r="E87" s="397"/>
      <c r="F87" s="394"/>
    </row>
    <row r="88" spans="1:6">
      <c r="A88" s="337"/>
      <c r="B88" s="338"/>
      <c r="C88" s="339"/>
      <c r="D88" s="489" t="s">
        <v>443</v>
      </c>
      <c r="E88" s="397"/>
      <c r="F88" s="394"/>
    </row>
    <row r="89" spans="1:6">
      <c r="A89" s="337"/>
      <c r="B89" s="338"/>
      <c r="C89" s="339"/>
      <c r="D89" s="489" t="s">
        <v>445</v>
      </c>
      <c r="E89" s="397"/>
      <c r="F89" s="394"/>
    </row>
    <row r="90" spans="1:6">
      <c r="A90" s="337"/>
      <c r="B90" s="338"/>
      <c r="C90" s="339"/>
      <c r="D90" s="489" t="s">
        <v>446</v>
      </c>
      <c r="E90" s="397"/>
      <c r="F90" s="394"/>
    </row>
    <row r="91" spans="1:6">
      <c r="A91" s="337"/>
      <c r="B91" s="338"/>
      <c r="C91" s="339"/>
      <c r="D91" s="489"/>
      <c r="E91" s="397"/>
      <c r="F91" s="394"/>
    </row>
    <row r="92" spans="1:6" ht="6" customHeight="1">
      <c r="A92" s="337"/>
      <c r="B92" s="338"/>
      <c r="C92" s="339"/>
      <c r="D92" s="489"/>
      <c r="E92" s="397"/>
      <c r="F92" s="394"/>
    </row>
    <row r="93" spans="1:6">
      <c r="A93" s="332">
        <v>852</v>
      </c>
      <c r="B93" s="323">
        <v>85232</v>
      </c>
      <c r="C93" s="323">
        <v>4217</v>
      </c>
      <c r="D93" s="494" t="s">
        <v>532</v>
      </c>
      <c r="E93" s="396" t="s">
        <v>368</v>
      </c>
      <c r="F93" s="336">
        <v>3000</v>
      </c>
    </row>
    <row r="94" spans="1:6">
      <c r="A94" s="332"/>
      <c r="B94" s="486"/>
      <c r="C94" s="323">
        <v>4219</v>
      </c>
      <c r="D94" s="489" t="s">
        <v>454</v>
      </c>
      <c r="E94" s="396" t="s">
        <v>370</v>
      </c>
      <c r="F94" s="336">
        <v>690</v>
      </c>
    </row>
    <row r="95" spans="1:6">
      <c r="A95" s="332"/>
      <c r="B95" s="486"/>
      <c r="C95" s="323">
        <v>6057</v>
      </c>
      <c r="D95" s="489" t="s">
        <v>455</v>
      </c>
      <c r="E95" s="397"/>
      <c r="F95" s="336">
        <f>138000-109000</f>
        <v>29000</v>
      </c>
    </row>
    <row r="96" spans="1:6">
      <c r="A96" s="332"/>
      <c r="B96" s="486"/>
      <c r="C96" s="323">
        <v>6059</v>
      </c>
      <c r="D96" s="492" t="s">
        <v>372</v>
      </c>
      <c r="E96" s="397"/>
      <c r="F96" s="336">
        <f>31740-25070</f>
        <v>6670</v>
      </c>
    </row>
    <row r="97" spans="1:6">
      <c r="A97" s="332"/>
      <c r="B97" s="486"/>
      <c r="C97" s="323">
        <v>6067</v>
      </c>
      <c r="D97" s="489" t="s">
        <v>456</v>
      </c>
      <c r="E97" s="397"/>
      <c r="F97" s="336">
        <f>29000+109000</f>
        <v>138000</v>
      </c>
    </row>
    <row r="98" spans="1:6">
      <c r="A98" s="332"/>
      <c r="B98" s="486"/>
      <c r="C98" s="323">
        <v>6069</v>
      </c>
      <c r="D98" s="489" t="s">
        <v>457</v>
      </c>
      <c r="E98" s="397"/>
      <c r="F98" s="393">
        <f>6670+25070</f>
        <v>31740</v>
      </c>
    </row>
    <row r="99" spans="1:6">
      <c r="A99" s="337"/>
      <c r="B99" s="338"/>
      <c r="C99" s="339"/>
      <c r="D99" s="492" t="s">
        <v>374</v>
      </c>
      <c r="E99" s="397"/>
      <c r="F99" s="404">
        <f>SUM(F93:F98)</f>
        <v>209100</v>
      </c>
    </row>
    <row r="100" spans="1:6">
      <c r="A100" s="337"/>
      <c r="B100" s="338"/>
      <c r="C100" s="339"/>
      <c r="D100" s="489" t="s">
        <v>458</v>
      </c>
      <c r="E100" s="397"/>
      <c r="F100" s="404"/>
    </row>
    <row r="101" spans="1:6">
      <c r="A101" s="337"/>
      <c r="B101" s="338"/>
      <c r="C101" s="339"/>
      <c r="D101" s="489" t="s">
        <v>459</v>
      </c>
      <c r="E101" s="397"/>
      <c r="F101" s="404"/>
    </row>
    <row r="102" spans="1:6">
      <c r="A102" s="337"/>
      <c r="B102" s="338"/>
      <c r="C102" s="339"/>
      <c r="D102" s="489" t="s">
        <v>460</v>
      </c>
      <c r="E102" s="397"/>
      <c r="F102" s="404"/>
    </row>
    <row r="103" spans="1:6">
      <c r="A103" s="337"/>
      <c r="B103" s="338"/>
      <c r="C103" s="339"/>
      <c r="D103" s="489" t="s">
        <v>461</v>
      </c>
      <c r="E103" s="397"/>
      <c r="F103" s="404"/>
    </row>
    <row r="104" spans="1:6" ht="15.75" thickBot="1">
      <c r="A104" s="329"/>
      <c r="B104" s="340"/>
      <c r="C104" s="314"/>
      <c r="D104" s="405"/>
      <c r="E104" s="398"/>
      <c r="F104" s="496"/>
    </row>
    <row r="105" spans="1:6" ht="15.75" thickBot="1">
      <c r="A105" s="487"/>
      <c r="B105" s="488"/>
      <c r="C105" s="487"/>
      <c r="D105" s="489"/>
      <c r="E105" s="488"/>
      <c r="F105" s="490"/>
    </row>
    <row r="106" spans="1:6">
      <c r="A106" s="406"/>
      <c r="B106" s="407"/>
      <c r="C106" s="419"/>
      <c r="D106" s="406" t="s">
        <v>366</v>
      </c>
      <c r="E106" s="533" t="s">
        <v>364</v>
      </c>
      <c r="F106" s="536" t="s">
        <v>365</v>
      </c>
    </row>
    <row r="107" spans="1:6">
      <c r="A107" s="408" t="s">
        <v>359</v>
      </c>
      <c r="B107" s="409" t="s">
        <v>360</v>
      </c>
      <c r="C107" s="418" t="s">
        <v>2</v>
      </c>
      <c r="D107" s="408" t="s">
        <v>367</v>
      </c>
      <c r="E107" s="534"/>
      <c r="F107" s="537"/>
    </row>
    <row r="108" spans="1:6" ht="15.75" thickBot="1">
      <c r="A108" s="410"/>
      <c r="B108" s="411"/>
      <c r="C108" s="420"/>
      <c r="D108" s="412"/>
      <c r="E108" s="535"/>
      <c r="F108" s="538"/>
    </row>
    <row r="109" spans="1:6" ht="15.75" thickBot="1">
      <c r="A109" s="413">
        <v>1</v>
      </c>
      <c r="B109" s="414">
        <v>2</v>
      </c>
      <c r="C109" s="414">
        <v>3</v>
      </c>
      <c r="D109" s="414">
        <v>4</v>
      </c>
      <c r="E109" s="414">
        <v>5</v>
      </c>
      <c r="F109" s="414">
        <v>6</v>
      </c>
    </row>
    <row r="110" spans="1:6">
      <c r="A110" s="337"/>
      <c r="B110" s="338"/>
      <c r="C110" s="339"/>
      <c r="D110" s="494" t="s">
        <v>533</v>
      </c>
      <c r="E110" s="397"/>
      <c r="F110" s="404"/>
    </row>
    <row r="111" spans="1:6">
      <c r="A111" s="332">
        <v>900</v>
      </c>
      <c r="B111" s="323">
        <v>90095</v>
      </c>
      <c r="C111" s="323">
        <v>4177</v>
      </c>
      <c r="D111" s="489" t="s">
        <v>527</v>
      </c>
      <c r="E111" s="396" t="s">
        <v>368</v>
      </c>
      <c r="F111" s="336">
        <v>1800</v>
      </c>
    </row>
    <row r="112" spans="1:6">
      <c r="A112" s="332"/>
      <c r="B112" s="323"/>
      <c r="C112" s="323">
        <v>4179</v>
      </c>
      <c r="D112" s="489"/>
      <c r="E112" s="396" t="s">
        <v>370</v>
      </c>
      <c r="F112" s="336">
        <v>200</v>
      </c>
    </row>
    <row r="113" spans="1:6">
      <c r="A113" s="332"/>
      <c r="B113" s="323"/>
      <c r="C113" s="323">
        <v>4309</v>
      </c>
      <c r="D113" s="492" t="s">
        <v>372</v>
      </c>
      <c r="E113" s="397"/>
      <c r="F113" s="393">
        <v>2500</v>
      </c>
    </row>
    <row r="114" spans="1:6">
      <c r="A114" s="332"/>
      <c r="B114" s="323"/>
      <c r="C114" s="323"/>
      <c r="D114" s="489" t="s">
        <v>525</v>
      </c>
      <c r="E114" s="397"/>
      <c r="F114" s="404">
        <f>SUM(F111:F113)</f>
        <v>4500</v>
      </c>
    </row>
    <row r="115" spans="1:6">
      <c r="A115" s="332"/>
      <c r="B115" s="323"/>
      <c r="C115" s="323"/>
      <c r="D115" s="489" t="s">
        <v>526</v>
      </c>
      <c r="E115" s="397"/>
      <c r="F115" s="404"/>
    </row>
    <row r="116" spans="1:6">
      <c r="A116" s="332"/>
      <c r="B116" s="323"/>
      <c r="C116" s="323"/>
      <c r="D116" s="492" t="s">
        <v>374</v>
      </c>
      <c r="E116" s="397"/>
      <c r="F116" s="404"/>
    </row>
    <row r="117" spans="1:6">
      <c r="A117" s="332"/>
      <c r="B117" s="323"/>
      <c r="C117" s="323"/>
      <c r="D117" s="489" t="s">
        <v>528</v>
      </c>
      <c r="E117" s="397"/>
      <c r="F117" s="404"/>
    </row>
    <row r="118" spans="1:6">
      <c r="A118" s="332"/>
      <c r="B118" s="323"/>
      <c r="C118" s="323"/>
      <c r="D118" s="489" t="s">
        <v>529</v>
      </c>
      <c r="E118" s="397"/>
      <c r="F118" s="404"/>
    </row>
    <row r="119" spans="1:6">
      <c r="A119" s="332"/>
      <c r="B119" s="323"/>
      <c r="C119" s="323"/>
      <c r="D119" s="489" t="s">
        <v>530</v>
      </c>
      <c r="E119" s="397"/>
      <c r="F119" s="404"/>
    </row>
    <row r="120" spans="1:6">
      <c r="A120" s="332"/>
      <c r="B120" s="323"/>
      <c r="C120" s="323"/>
      <c r="D120" s="489" t="s">
        <v>531</v>
      </c>
      <c r="E120" s="397"/>
      <c r="F120" s="404"/>
    </row>
    <row r="121" spans="1:6" ht="8.25" customHeight="1" thickBot="1">
      <c r="A121" s="329"/>
      <c r="B121" s="340"/>
      <c r="C121" s="314"/>
      <c r="D121" s="405"/>
      <c r="E121" s="398"/>
      <c r="F121" s="341"/>
    </row>
    <row r="122" spans="1:6" ht="9" customHeight="1"/>
    <row r="123" spans="1:6" ht="13.5" customHeight="1">
      <c r="A123" s="400" t="s">
        <v>427</v>
      </c>
      <c r="B123" s="539" t="s">
        <v>439</v>
      </c>
      <c r="C123" s="539"/>
      <c r="D123" s="539"/>
    </row>
    <row r="124" spans="1:6" ht="13.5" customHeight="1">
      <c r="A124" s="400" t="s">
        <v>429</v>
      </c>
      <c r="B124" s="539" t="s">
        <v>440</v>
      </c>
      <c r="C124" s="539"/>
      <c r="D124" s="539"/>
    </row>
    <row r="125" spans="1:6" ht="12.75" customHeight="1">
      <c r="A125" s="400" t="s">
        <v>430</v>
      </c>
      <c r="B125" s="539" t="s">
        <v>452</v>
      </c>
      <c r="C125" s="539"/>
      <c r="D125" s="539"/>
    </row>
    <row r="126" spans="1:6">
      <c r="A126" s="400" t="s">
        <v>431</v>
      </c>
      <c r="B126" s="539" t="s">
        <v>534</v>
      </c>
      <c r="C126" s="539"/>
      <c r="D126" s="539"/>
    </row>
    <row r="127" spans="1:6">
      <c r="A127" s="400" t="s">
        <v>484</v>
      </c>
      <c r="B127" s="539" t="s">
        <v>535</v>
      </c>
      <c r="C127" s="539"/>
      <c r="D127" s="539"/>
    </row>
    <row r="128" spans="1:6">
      <c r="A128" s="342"/>
    </row>
  </sheetData>
  <mergeCells count="38">
    <mergeCell ref="D26:E26"/>
    <mergeCell ref="D27:E27"/>
    <mergeCell ref="D28:E28"/>
    <mergeCell ref="D29:E29"/>
    <mergeCell ref="B36:D36"/>
    <mergeCell ref="D23:E23"/>
    <mergeCell ref="E46:E48"/>
    <mergeCell ref="D15:E15"/>
    <mergeCell ref="A5:F5"/>
    <mergeCell ref="D7:E8"/>
    <mergeCell ref="D9:E9"/>
    <mergeCell ref="D10:E10"/>
    <mergeCell ref="D11:E11"/>
    <mergeCell ref="F46:F48"/>
    <mergeCell ref="D24:E24"/>
    <mergeCell ref="D30:E30"/>
    <mergeCell ref="B32:E32"/>
    <mergeCell ref="B33:D33"/>
    <mergeCell ref="B34:D34"/>
    <mergeCell ref="B35:D35"/>
    <mergeCell ref="D25:E25"/>
    <mergeCell ref="D12:E12"/>
    <mergeCell ref="D16:E16"/>
    <mergeCell ref="D20:E20"/>
    <mergeCell ref="D22:E22"/>
    <mergeCell ref="D14:E14"/>
    <mergeCell ref="D13:E13"/>
    <mergeCell ref="D19:E19"/>
    <mergeCell ref="D17:E17"/>
    <mergeCell ref="D18:E18"/>
    <mergeCell ref="D21:E21"/>
    <mergeCell ref="E106:E108"/>
    <mergeCell ref="F106:F108"/>
    <mergeCell ref="B126:D126"/>
    <mergeCell ref="B127:D127"/>
    <mergeCell ref="B123:D123"/>
    <mergeCell ref="B124:D124"/>
    <mergeCell ref="B125:D125"/>
  </mergeCells>
  <phoneticPr fontId="83" type="noConversion"/>
  <pageMargins left="0.62992125984251968" right="0.62992125984251968" top="0.74803149606299213" bottom="0.55118110236220474" header="0.31496062992125984" footer="0.31496062992125984"/>
  <pageSetup paperSize="9" scale="84" orientation="portrait" r:id="rId1"/>
  <headerFooter>
    <oddHeader xml:space="preserve">&amp;RZałącznik Nr 5
do Uchwały Nr XII/.../2024 
Rady Gminy Komorniki z dnia 28 listopada 2024r. 
w sprawie uchwały budżetowej na 2024r.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B03F-A9D6-46FB-9513-685FEF49250D}">
  <dimension ref="A3:H60"/>
  <sheetViews>
    <sheetView topLeftCell="A41" workbookViewId="0">
      <selection activeCell="G49" sqref="G49"/>
    </sheetView>
  </sheetViews>
  <sheetFormatPr defaultRowHeight="15"/>
  <cols>
    <col min="1" max="1" width="6" customWidth="1"/>
    <col min="2" max="2" width="7.28515625" customWidth="1"/>
    <col min="3" max="3" width="6.42578125" customWidth="1"/>
    <col min="4" max="4" width="58.5703125" customWidth="1"/>
    <col min="5" max="5" width="14.5703125" customWidth="1"/>
    <col min="6" max="6" width="13.42578125" customWidth="1"/>
    <col min="7" max="7" width="12.85546875" customWidth="1"/>
    <col min="8" max="8" width="14.42578125" customWidth="1"/>
  </cols>
  <sheetData>
    <row r="3" spans="1:8" ht="15.75">
      <c r="A3" s="560" t="s">
        <v>377</v>
      </c>
      <c r="B3" s="560"/>
      <c r="C3" s="560"/>
      <c r="D3" s="560"/>
      <c r="E3" s="560"/>
      <c r="F3" s="501"/>
      <c r="G3" s="501"/>
      <c r="H3" s="501"/>
    </row>
    <row r="4" spans="1:8" ht="15.75">
      <c r="A4" s="560" t="s">
        <v>378</v>
      </c>
      <c r="B4" s="561"/>
      <c r="C4" s="561"/>
      <c r="D4" s="561"/>
      <c r="E4" s="561"/>
      <c r="F4" s="501"/>
      <c r="G4" s="501"/>
      <c r="H4" s="501"/>
    </row>
    <row r="5" spans="1:8" ht="15.75">
      <c r="A5" s="562" t="s">
        <v>216</v>
      </c>
      <c r="B5" s="563"/>
      <c r="C5" s="563"/>
      <c r="D5" s="563"/>
      <c r="E5" s="563"/>
      <c r="F5" s="563"/>
      <c r="G5" s="563"/>
      <c r="H5" s="563"/>
    </row>
    <row r="6" spans="1:8" ht="5.25" customHeight="1">
      <c r="A6" s="343"/>
      <c r="B6" s="343"/>
      <c r="C6" s="343"/>
      <c r="D6" s="306"/>
      <c r="E6" s="343"/>
    </row>
    <row r="7" spans="1:8" ht="15.75">
      <c r="A7" s="344" t="s">
        <v>213</v>
      </c>
      <c r="B7" s="345"/>
      <c r="C7" s="345"/>
      <c r="D7" s="346"/>
      <c r="E7" s="345"/>
      <c r="F7" s="345"/>
      <c r="G7" s="345"/>
      <c r="H7" s="345"/>
    </row>
    <row r="8" spans="1:8" ht="46.5">
      <c r="A8" s="347" t="s">
        <v>0</v>
      </c>
      <c r="B8" s="348" t="s">
        <v>1</v>
      </c>
      <c r="C8" s="349" t="s">
        <v>2</v>
      </c>
      <c r="D8" s="349" t="s">
        <v>3</v>
      </c>
      <c r="E8" s="349" t="s">
        <v>4</v>
      </c>
      <c r="F8" s="350" t="s">
        <v>312</v>
      </c>
      <c r="G8" s="350" t="s">
        <v>313</v>
      </c>
      <c r="H8" s="350" t="s">
        <v>314</v>
      </c>
    </row>
    <row r="9" spans="1:8" ht="15.75">
      <c r="A9" s="351">
        <v>1</v>
      </c>
      <c r="B9" s="352">
        <v>2</v>
      </c>
      <c r="C9" s="352">
        <v>3</v>
      </c>
      <c r="D9" s="352">
        <v>4</v>
      </c>
      <c r="E9" s="352">
        <v>5</v>
      </c>
      <c r="F9" s="38">
        <v>6</v>
      </c>
      <c r="G9" s="38">
        <v>7</v>
      </c>
      <c r="H9" s="38">
        <v>8</v>
      </c>
    </row>
    <row r="10" spans="1:8" ht="15.75" hidden="1" customHeight="1">
      <c r="A10" s="353"/>
      <c r="B10" s="349"/>
      <c r="C10" s="349"/>
      <c r="D10" s="349"/>
      <c r="E10" s="349"/>
    </row>
    <row r="11" spans="1:8" ht="15.75">
      <c r="A11" s="9">
        <v>600</v>
      </c>
      <c r="B11" s="10"/>
      <c r="C11" s="11"/>
      <c r="D11" s="12" t="s">
        <v>12</v>
      </c>
      <c r="E11" s="13">
        <f>E12</f>
        <v>1840807.02</v>
      </c>
      <c r="F11" s="13">
        <f>F12</f>
        <v>0</v>
      </c>
      <c r="G11" s="13">
        <f>G12</f>
        <v>0</v>
      </c>
      <c r="H11" s="13">
        <f>H12</f>
        <v>1840807.02</v>
      </c>
    </row>
    <row r="12" spans="1:8" ht="15.75">
      <c r="A12" s="9"/>
      <c r="B12" s="10">
        <v>60016</v>
      </c>
      <c r="C12" s="11"/>
      <c r="D12" s="12" t="s">
        <v>16</v>
      </c>
      <c r="E12" s="13">
        <f>SUM(E13:E13)</f>
        <v>1840807.02</v>
      </c>
      <c r="F12" s="13">
        <f>SUM(F13:F13)</f>
        <v>0</v>
      </c>
      <c r="G12" s="13">
        <f>SUM(G13:G13)</f>
        <v>0</v>
      </c>
      <c r="H12" s="13">
        <f>SUM(H13:H13)</f>
        <v>1840807.02</v>
      </c>
    </row>
    <row r="13" spans="1:8" ht="34.5" customHeight="1">
      <c r="A13" s="9"/>
      <c r="B13" s="10"/>
      <c r="C13" s="11">
        <v>6370</v>
      </c>
      <c r="D13" s="12" t="s">
        <v>187</v>
      </c>
      <c r="E13" s="13">
        <f>3000000-1159192.98</f>
        <v>1840807.02</v>
      </c>
      <c r="F13" s="13"/>
      <c r="G13" s="13"/>
      <c r="H13" s="13">
        <f>E13+F13-G13</f>
        <v>1840807.02</v>
      </c>
    </row>
    <row r="14" spans="1:8" ht="15.75">
      <c r="A14" s="9">
        <v>801</v>
      </c>
      <c r="B14" s="10"/>
      <c r="C14" s="11"/>
      <c r="D14" s="12" t="s">
        <v>58</v>
      </c>
      <c r="E14" s="13">
        <f>E15</f>
        <v>2399196.67</v>
      </c>
      <c r="F14" s="13">
        <f>F15</f>
        <v>0</v>
      </c>
      <c r="G14" s="13">
        <f>G15</f>
        <v>1064580</v>
      </c>
      <c r="H14" s="13">
        <f>H15</f>
        <v>1334616.67</v>
      </c>
    </row>
    <row r="15" spans="1:8" ht="15.75">
      <c r="A15" s="9"/>
      <c r="B15" s="10">
        <v>80101</v>
      </c>
      <c r="C15" s="11"/>
      <c r="D15" s="12" t="s">
        <v>59</v>
      </c>
      <c r="E15" s="13">
        <f>SUM(E16:E17)</f>
        <v>2399196.67</v>
      </c>
      <c r="F15" s="13">
        <f>SUM(F16:F17)</f>
        <v>0</v>
      </c>
      <c r="G15" s="13">
        <f>SUM(G16:G17)</f>
        <v>1064580</v>
      </c>
      <c r="H15" s="13">
        <f>SUM(H16:H17)</f>
        <v>1334616.67</v>
      </c>
    </row>
    <row r="16" spans="1:8" ht="44.25" customHeight="1">
      <c r="A16" s="9"/>
      <c r="B16" s="10"/>
      <c r="C16" s="11">
        <v>6090</v>
      </c>
      <c r="D16" s="12" t="s">
        <v>209</v>
      </c>
      <c r="E16" s="13">
        <f>334616.67</f>
        <v>334616.67</v>
      </c>
      <c r="F16" s="13"/>
      <c r="G16" s="13"/>
      <c r="H16" s="13">
        <f>E16+F16-G16</f>
        <v>334616.67</v>
      </c>
    </row>
    <row r="17" spans="1:8" ht="31.5" customHeight="1">
      <c r="A17" s="9"/>
      <c r="B17" s="10"/>
      <c r="C17" s="11">
        <v>6370</v>
      </c>
      <c r="D17" s="12" t="s">
        <v>187</v>
      </c>
      <c r="E17" s="13">
        <f>3000000-935420</f>
        <v>2064580</v>
      </c>
      <c r="F17" s="13"/>
      <c r="G17" s="13">
        <v>1064580</v>
      </c>
      <c r="H17" s="13">
        <f>E17+F17-G17</f>
        <v>1000000</v>
      </c>
    </row>
    <row r="18" spans="1:8" ht="15.75">
      <c r="A18" s="9">
        <v>853</v>
      </c>
      <c r="B18" s="10"/>
      <c r="C18" s="11"/>
      <c r="D18" s="12" t="s">
        <v>77</v>
      </c>
      <c r="E18" s="13">
        <f>E19</f>
        <v>41806.539999999994</v>
      </c>
      <c r="F18" s="13">
        <f t="shared" ref="F18:H19" si="0">F19</f>
        <v>1581.41</v>
      </c>
      <c r="G18" s="13">
        <f t="shared" si="0"/>
        <v>0</v>
      </c>
      <c r="H18" s="13">
        <f t="shared" si="0"/>
        <v>43387.95</v>
      </c>
    </row>
    <row r="19" spans="1:8" ht="15.75">
      <c r="A19" s="9"/>
      <c r="B19" s="10">
        <v>85395</v>
      </c>
      <c r="C19" s="11"/>
      <c r="D19" s="12" t="s">
        <v>8</v>
      </c>
      <c r="E19" s="13">
        <f>E20</f>
        <v>41806.539999999994</v>
      </c>
      <c r="F19" s="13">
        <f t="shared" si="0"/>
        <v>1581.41</v>
      </c>
      <c r="G19" s="13">
        <f t="shared" si="0"/>
        <v>0</v>
      </c>
      <c r="H19" s="13">
        <f t="shared" si="0"/>
        <v>43387.95</v>
      </c>
    </row>
    <row r="20" spans="1:8" ht="44.25" customHeight="1">
      <c r="A20" s="9"/>
      <c r="B20" s="10"/>
      <c r="C20" s="11">
        <v>2180</v>
      </c>
      <c r="D20" s="12" t="s">
        <v>325</v>
      </c>
      <c r="E20" s="13">
        <f>4468.99+29673.03+7230.88+433.64</f>
        <v>41806.539999999994</v>
      </c>
      <c r="F20" s="13">
        <v>1581.41</v>
      </c>
      <c r="G20" s="13"/>
      <c r="H20" s="13">
        <f>E20+F20-G20</f>
        <v>43387.95</v>
      </c>
    </row>
    <row r="21" spans="1:8" ht="15.75">
      <c r="A21" s="9">
        <v>900</v>
      </c>
      <c r="B21" s="10"/>
      <c r="C21" s="11"/>
      <c r="D21" s="12" t="s">
        <v>84</v>
      </c>
      <c r="E21" s="13">
        <f t="shared" ref="E21:H22" si="1">E22</f>
        <v>1343680</v>
      </c>
      <c r="F21" s="13">
        <f t="shared" si="1"/>
        <v>0</v>
      </c>
      <c r="G21" s="13">
        <f t="shared" si="1"/>
        <v>816112.34</v>
      </c>
      <c r="H21" s="13">
        <f t="shared" si="1"/>
        <v>527567.66</v>
      </c>
    </row>
    <row r="22" spans="1:8" ht="15.75">
      <c r="A22" s="9"/>
      <c r="B22" s="10">
        <v>90015</v>
      </c>
      <c r="C22" s="11"/>
      <c r="D22" s="12" t="s">
        <v>172</v>
      </c>
      <c r="E22" s="13">
        <f t="shared" si="1"/>
        <v>1343680</v>
      </c>
      <c r="F22" s="13">
        <f t="shared" si="1"/>
        <v>0</v>
      </c>
      <c r="G22" s="13">
        <f t="shared" si="1"/>
        <v>816112.34</v>
      </c>
      <c r="H22" s="13">
        <f t="shared" si="1"/>
        <v>527567.66</v>
      </c>
    </row>
    <row r="23" spans="1:8" ht="32.25" customHeight="1">
      <c r="A23" s="9"/>
      <c r="B23" s="10"/>
      <c r="C23" s="11">
        <v>6370</v>
      </c>
      <c r="D23" s="12" t="s">
        <v>187</v>
      </c>
      <c r="E23" s="13">
        <v>1343680</v>
      </c>
      <c r="F23" s="13"/>
      <c r="G23" s="13">
        <v>816112.34</v>
      </c>
      <c r="H23" s="13">
        <f>E23+F23-G23</f>
        <v>527567.66</v>
      </c>
    </row>
    <row r="24" spans="1:8" ht="15.75">
      <c r="A24" s="9">
        <v>921</v>
      </c>
      <c r="B24" s="10"/>
      <c r="C24" s="11"/>
      <c r="D24" s="12" t="s">
        <v>175</v>
      </c>
      <c r="E24" s="13">
        <f>E27+E25</f>
        <v>1842800</v>
      </c>
      <c r="F24" s="13">
        <f>F27+F25</f>
        <v>0</v>
      </c>
      <c r="G24" s="13">
        <f>G27+G25</f>
        <v>842800</v>
      </c>
      <c r="H24" s="13">
        <f>H27+H25</f>
        <v>1000000</v>
      </c>
    </row>
    <row r="25" spans="1:8" ht="15.75">
      <c r="A25" s="9"/>
      <c r="B25" s="10">
        <v>92109</v>
      </c>
      <c r="C25" s="11"/>
      <c r="D25" s="12" t="s">
        <v>177</v>
      </c>
      <c r="E25" s="13">
        <f>SUM(E26:E26)</f>
        <v>1000000</v>
      </c>
      <c r="F25" s="13">
        <f>SUM(F26:F26)</f>
        <v>0</v>
      </c>
      <c r="G25" s="13">
        <f>SUM(G26:G26)</f>
        <v>0</v>
      </c>
      <c r="H25" s="13">
        <f>SUM(H26:H26)</f>
        <v>1000000</v>
      </c>
    </row>
    <row r="26" spans="1:8" ht="30" customHeight="1">
      <c r="A26" s="9"/>
      <c r="B26" s="10"/>
      <c r="C26" s="11">
        <v>6370</v>
      </c>
      <c r="D26" s="12" t="s">
        <v>187</v>
      </c>
      <c r="E26" s="13">
        <v>1000000</v>
      </c>
      <c r="F26" s="13"/>
      <c r="G26" s="13"/>
      <c r="H26" s="13">
        <f>E26+F26-G26</f>
        <v>1000000</v>
      </c>
    </row>
    <row r="27" spans="1:8" ht="15.75">
      <c r="A27" s="9"/>
      <c r="B27" s="45">
        <v>92120</v>
      </c>
      <c r="C27" s="46"/>
      <c r="D27" s="12" t="s">
        <v>180</v>
      </c>
      <c r="E27" s="13">
        <f>SUM(E28:E28)</f>
        <v>842800</v>
      </c>
      <c r="F27" s="13">
        <f>SUM(F28:F28)</f>
        <v>0</v>
      </c>
      <c r="G27" s="13">
        <f>SUM(G28:G28)</f>
        <v>842800</v>
      </c>
      <c r="H27" s="13">
        <f>SUM(H28:H28)</f>
        <v>0</v>
      </c>
    </row>
    <row r="28" spans="1:8" ht="50.25" customHeight="1">
      <c r="A28" s="9"/>
      <c r="B28" s="10"/>
      <c r="C28" s="11">
        <v>6090</v>
      </c>
      <c r="D28" s="12" t="s">
        <v>217</v>
      </c>
      <c r="E28" s="13">
        <v>842800</v>
      </c>
      <c r="F28" s="13"/>
      <c r="G28" s="13">
        <v>842800</v>
      </c>
      <c r="H28" s="13">
        <f>E28+F28-G28</f>
        <v>0</v>
      </c>
    </row>
    <row r="29" spans="1:8" ht="15.75">
      <c r="A29" s="9"/>
      <c r="B29" s="10"/>
      <c r="C29" s="11"/>
      <c r="D29" s="12" t="s">
        <v>91</v>
      </c>
      <c r="E29" s="13">
        <f>E11+E24+E14+E18+E21</f>
        <v>7468290.2299999995</v>
      </c>
      <c r="F29" s="13">
        <f>F11+F24+F14+F18+F21</f>
        <v>1581.41</v>
      </c>
      <c r="G29" s="13">
        <f>G11+G24+G14+G18+G21</f>
        <v>2723492.34</v>
      </c>
      <c r="H29" s="13">
        <f>H11+H24+H14+H18+H21</f>
        <v>4746379.3</v>
      </c>
    </row>
    <row r="30" spans="1:8" ht="10.5" customHeight="1">
      <c r="A30" s="354"/>
      <c r="B30" s="355"/>
      <c r="C30" s="356"/>
      <c r="D30" s="357"/>
      <c r="E30" s="358"/>
    </row>
    <row r="31" spans="1:8" ht="10.5" customHeight="1">
      <c r="A31" s="359"/>
      <c r="B31" s="359"/>
      <c r="C31" s="359"/>
      <c r="D31" s="359"/>
      <c r="E31" s="359"/>
    </row>
    <row r="32" spans="1:8" ht="15.75" customHeight="1">
      <c r="A32" s="360" t="s">
        <v>214</v>
      </c>
      <c r="B32" s="360"/>
      <c r="C32" s="360"/>
      <c r="D32" s="361"/>
      <c r="E32" s="360"/>
      <c r="F32" s="360"/>
      <c r="G32" s="360"/>
      <c r="H32" s="360"/>
    </row>
    <row r="33" spans="1:8" ht="46.5">
      <c r="A33" s="347" t="s">
        <v>0</v>
      </c>
      <c r="B33" s="348" t="s">
        <v>1</v>
      </c>
      <c r="C33" s="349" t="s">
        <v>2</v>
      </c>
      <c r="D33" s="349" t="s">
        <v>3</v>
      </c>
      <c r="E33" s="349" t="s">
        <v>4</v>
      </c>
      <c r="F33" s="350" t="s">
        <v>312</v>
      </c>
      <c r="G33" s="350" t="s">
        <v>313</v>
      </c>
      <c r="H33" s="350" t="s">
        <v>314</v>
      </c>
    </row>
    <row r="34" spans="1:8" ht="15.75">
      <c r="A34" s="351">
        <v>1</v>
      </c>
      <c r="B34" s="352">
        <v>2</v>
      </c>
      <c r="C34" s="352">
        <v>3</v>
      </c>
      <c r="D34" s="352">
        <v>4</v>
      </c>
      <c r="E34" s="352">
        <v>5</v>
      </c>
      <c r="F34" s="38">
        <v>6</v>
      </c>
      <c r="G34" s="38">
        <v>7</v>
      </c>
      <c r="H34" s="38">
        <v>8</v>
      </c>
    </row>
    <row r="35" spans="1:8" ht="9" customHeight="1">
      <c r="A35" s="353"/>
      <c r="B35" s="349"/>
      <c r="C35" s="349"/>
      <c r="D35" s="349"/>
      <c r="E35" s="349"/>
    </row>
    <row r="36" spans="1:8" ht="15.75">
      <c r="A36" s="9">
        <v>600</v>
      </c>
      <c r="B36" s="10"/>
      <c r="C36" s="11"/>
      <c r="D36" s="12" t="s">
        <v>12</v>
      </c>
      <c r="E36" s="13">
        <f>E37</f>
        <v>1840807.02</v>
      </c>
      <c r="F36" s="13">
        <f>F37</f>
        <v>0</v>
      </c>
      <c r="G36" s="13">
        <f>G37</f>
        <v>0</v>
      </c>
      <c r="H36" s="13">
        <f>H37</f>
        <v>1840807.02</v>
      </c>
    </row>
    <row r="37" spans="1:8" ht="15.75">
      <c r="A37" s="9"/>
      <c r="B37" s="10">
        <v>60016</v>
      </c>
      <c r="C37" s="11"/>
      <c r="D37" s="12" t="s">
        <v>16</v>
      </c>
      <c r="E37" s="13">
        <f>SUM(E38:E38)</f>
        <v>1840807.02</v>
      </c>
      <c r="F37" s="13">
        <f>SUM(F38:F38)</f>
        <v>0</v>
      </c>
      <c r="G37" s="13">
        <f>SUM(G38:G38)</f>
        <v>0</v>
      </c>
      <c r="H37" s="13">
        <f>SUM(H38:H38)</f>
        <v>1840807.02</v>
      </c>
    </row>
    <row r="38" spans="1:8" ht="47.25">
      <c r="A38" s="9"/>
      <c r="B38" s="10"/>
      <c r="C38" s="11">
        <v>6370</v>
      </c>
      <c r="D38" s="12" t="s">
        <v>215</v>
      </c>
      <c r="E38" s="13">
        <f>3000000-1159192.98</f>
        <v>1840807.02</v>
      </c>
      <c r="F38" s="13"/>
      <c r="G38" s="13"/>
      <c r="H38" s="13">
        <f>E38+F38-G38</f>
        <v>1840807.02</v>
      </c>
    </row>
    <row r="39" spans="1:8" ht="15.75">
      <c r="A39" s="9">
        <v>801</v>
      </c>
      <c r="B39" s="10"/>
      <c r="C39" s="11"/>
      <c r="D39" s="12" t="s">
        <v>58</v>
      </c>
      <c r="E39" s="13">
        <f>E40</f>
        <v>2399196.67</v>
      </c>
      <c r="F39" s="13">
        <f>F40</f>
        <v>0</v>
      </c>
      <c r="G39" s="13">
        <f>G40</f>
        <v>170000</v>
      </c>
      <c r="H39" s="13">
        <f>H40</f>
        <v>2229196.67</v>
      </c>
    </row>
    <row r="40" spans="1:8" ht="15.75">
      <c r="A40" s="9"/>
      <c r="B40" s="10">
        <v>80101</v>
      </c>
      <c r="C40" s="11"/>
      <c r="D40" s="12" t="s">
        <v>59</v>
      </c>
      <c r="E40" s="13">
        <f>SUM(E41:E42)</f>
        <v>2399196.67</v>
      </c>
      <c r="F40" s="13">
        <f>SUM(F41:F42)</f>
        <v>0</v>
      </c>
      <c r="G40" s="13">
        <f>SUM(G41:G42)</f>
        <v>170000</v>
      </c>
      <c r="H40" s="13">
        <f>SUM(H41:H42)</f>
        <v>2229196.67</v>
      </c>
    </row>
    <row r="41" spans="1:8" ht="45.75" customHeight="1">
      <c r="A41" s="9"/>
      <c r="B41" s="10"/>
      <c r="C41" s="11">
        <v>6370</v>
      </c>
      <c r="D41" s="12" t="s">
        <v>215</v>
      </c>
      <c r="E41" s="13">
        <f>3000000-935420</f>
        <v>2064580</v>
      </c>
      <c r="F41" s="13"/>
      <c r="G41" s="13">
        <v>170000</v>
      </c>
      <c r="H41" s="13">
        <f>E41+F41-G41</f>
        <v>1894580</v>
      </c>
    </row>
    <row r="42" spans="1:8" ht="31.5">
      <c r="A42" s="9"/>
      <c r="B42" s="10"/>
      <c r="C42" s="70">
        <v>6580</v>
      </c>
      <c r="D42" s="71" t="s">
        <v>311</v>
      </c>
      <c r="E42" s="13">
        <v>334616.67</v>
      </c>
      <c r="F42" s="13"/>
      <c r="G42" s="13"/>
      <c r="H42" s="13">
        <f>E42+F42-G42</f>
        <v>334616.67</v>
      </c>
    </row>
    <row r="43" spans="1:8" ht="15.75">
      <c r="A43" s="9">
        <v>853</v>
      </c>
      <c r="B43" s="10"/>
      <c r="C43" s="11"/>
      <c r="D43" s="12" t="s">
        <v>77</v>
      </c>
      <c r="E43" s="13">
        <f>E44</f>
        <v>41806.54</v>
      </c>
      <c r="F43" s="13">
        <f>F44</f>
        <v>1581.41</v>
      </c>
      <c r="G43" s="13">
        <f>G44</f>
        <v>0</v>
      </c>
      <c r="H43" s="13">
        <f>H44</f>
        <v>43387.950000000004</v>
      </c>
    </row>
    <row r="44" spans="1:8" ht="15.75">
      <c r="A44" s="9"/>
      <c r="B44" s="10">
        <v>85395</v>
      </c>
      <c r="C44" s="11"/>
      <c r="D44" s="12" t="s">
        <v>8</v>
      </c>
      <c r="E44" s="13">
        <f>SUM(E45:E46)</f>
        <v>41806.54</v>
      </c>
      <c r="F44" s="13">
        <f>SUM(F45:F46)</f>
        <v>1581.41</v>
      </c>
      <c r="G44" s="13">
        <f>SUM(G45:G46)</f>
        <v>0</v>
      </c>
      <c r="H44" s="13">
        <f>SUM(H45:H46)</f>
        <v>43387.950000000004</v>
      </c>
    </row>
    <row r="45" spans="1:8" ht="15.75">
      <c r="A45" s="9"/>
      <c r="B45" s="10"/>
      <c r="C45" s="11">
        <v>3110</v>
      </c>
      <c r="D45" s="12" t="s">
        <v>161</v>
      </c>
      <c r="E45" s="13">
        <f>4381.37+29091.21+7089.11+425.13</f>
        <v>40986.82</v>
      </c>
      <c r="F45" s="13">
        <v>1550.4</v>
      </c>
      <c r="G45" s="13"/>
      <c r="H45" s="13">
        <f>E45+F45-G45</f>
        <v>42537.22</v>
      </c>
    </row>
    <row r="46" spans="1:8" ht="15.75">
      <c r="A46" s="9"/>
      <c r="B46" s="10"/>
      <c r="C46" s="11">
        <v>4210</v>
      </c>
      <c r="D46" s="12" t="s">
        <v>102</v>
      </c>
      <c r="E46" s="13">
        <f>87.62+581.82+141.77+8.51</f>
        <v>819.72</v>
      </c>
      <c r="F46" s="13">
        <v>31.01</v>
      </c>
      <c r="G46" s="13"/>
      <c r="H46" s="13">
        <f>E46+F46-G46</f>
        <v>850.73</v>
      </c>
    </row>
    <row r="47" spans="1:8" ht="15.75">
      <c r="A47" s="9">
        <v>900</v>
      </c>
      <c r="B47" s="10"/>
      <c r="C47" s="11"/>
      <c r="D47" s="12" t="s">
        <v>84</v>
      </c>
      <c r="E47" s="13">
        <f>E48</f>
        <v>1343680</v>
      </c>
      <c r="F47" s="13">
        <f t="shared" ref="F47:H48" si="2">F48</f>
        <v>0</v>
      </c>
      <c r="G47" s="13">
        <f>G48</f>
        <v>816112.34</v>
      </c>
      <c r="H47" s="13">
        <f>H48</f>
        <v>527567.66</v>
      </c>
    </row>
    <row r="48" spans="1:8" ht="15.75">
      <c r="A48" s="9"/>
      <c r="B48" s="10">
        <v>90015</v>
      </c>
      <c r="C48" s="11"/>
      <c r="D48" s="12" t="s">
        <v>172</v>
      </c>
      <c r="E48" s="13">
        <f>E49</f>
        <v>1343680</v>
      </c>
      <c r="F48" s="13">
        <f t="shared" si="2"/>
        <v>0</v>
      </c>
      <c r="G48" s="13">
        <f t="shared" si="2"/>
        <v>816112.34</v>
      </c>
      <c r="H48" s="13">
        <f t="shared" si="2"/>
        <v>527567.66</v>
      </c>
    </row>
    <row r="49" spans="1:8" ht="45" customHeight="1">
      <c r="A49" s="9"/>
      <c r="B49" s="10"/>
      <c r="C49" s="11">
        <v>6370</v>
      </c>
      <c r="D49" s="12" t="s">
        <v>215</v>
      </c>
      <c r="E49" s="13">
        <v>1343680</v>
      </c>
      <c r="F49" s="13"/>
      <c r="G49" s="13">
        <v>816112.34</v>
      </c>
      <c r="H49" s="13">
        <f>E49+F49-G49</f>
        <v>527567.66</v>
      </c>
    </row>
    <row r="50" spans="1:8" ht="15.75">
      <c r="A50" s="9">
        <v>921</v>
      </c>
      <c r="B50" s="10"/>
      <c r="C50" s="11"/>
      <c r="D50" s="12" t="s">
        <v>175</v>
      </c>
      <c r="E50" s="13">
        <f>E53+E51</f>
        <v>1842800.65</v>
      </c>
      <c r="F50" s="13">
        <f>F53+F51</f>
        <v>118000</v>
      </c>
      <c r="G50" s="13">
        <f>G53+G51</f>
        <v>842800</v>
      </c>
      <c r="H50" s="13">
        <f>H53+H51</f>
        <v>1118000.6499999999</v>
      </c>
    </row>
    <row r="51" spans="1:8" ht="15.75">
      <c r="A51" s="9"/>
      <c r="B51" s="10">
        <v>92109</v>
      </c>
      <c r="C51" s="11"/>
      <c r="D51" s="12" t="s">
        <v>177</v>
      </c>
      <c r="E51" s="13">
        <f>SUM(E52:E52)</f>
        <v>1000000.65</v>
      </c>
      <c r="F51" s="13">
        <f>SUM(F52:F52)</f>
        <v>0</v>
      </c>
      <c r="G51" s="13">
        <f>SUM(G52:G52)</f>
        <v>0</v>
      </c>
      <c r="H51" s="13">
        <f>SUM(H52:H52)</f>
        <v>1000000.65</v>
      </c>
    </row>
    <row r="52" spans="1:8" ht="47.25">
      <c r="A52" s="9"/>
      <c r="B52" s="10"/>
      <c r="C52" s="11">
        <v>6370</v>
      </c>
      <c r="D52" s="12" t="s">
        <v>215</v>
      </c>
      <c r="E52" s="13">
        <f>1000000+0.65</f>
        <v>1000000.65</v>
      </c>
      <c r="F52" s="13"/>
      <c r="G52" s="13"/>
      <c r="H52" s="13">
        <f>E52+F52-G52</f>
        <v>1000000.65</v>
      </c>
    </row>
    <row r="53" spans="1:8" ht="15.75">
      <c r="A53" s="9"/>
      <c r="B53" s="45">
        <v>92120</v>
      </c>
      <c r="C53" s="46"/>
      <c r="D53" s="12" t="s">
        <v>180</v>
      </c>
      <c r="E53" s="13">
        <f>SUM(E54:E55)</f>
        <v>842800</v>
      </c>
      <c r="F53" s="13">
        <f t="shared" ref="F53:H53" si="3">SUM(F54:F55)</f>
        <v>118000</v>
      </c>
      <c r="G53" s="13">
        <f t="shared" si="3"/>
        <v>842800</v>
      </c>
      <c r="H53" s="13">
        <f t="shared" si="3"/>
        <v>118000</v>
      </c>
    </row>
    <row r="54" spans="1:8" ht="47.25">
      <c r="A54" s="9"/>
      <c r="B54" s="45"/>
      <c r="C54" s="11">
        <v>6370</v>
      </c>
      <c r="D54" s="12" t="s">
        <v>215</v>
      </c>
      <c r="E54" s="13"/>
      <c r="F54" s="13">
        <v>118000</v>
      </c>
      <c r="G54" s="13"/>
      <c r="H54" s="13">
        <f>E54+F54-G54</f>
        <v>118000</v>
      </c>
    </row>
    <row r="55" spans="1:8" ht="63">
      <c r="A55" s="9"/>
      <c r="B55" s="10"/>
      <c r="C55" s="87">
        <v>6570</v>
      </c>
      <c r="D55" s="88" t="s">
        <v>218</v>
      </c>
      <c r="E55" s="13">
        <v>842800</v>
      </c>
      <c r="F55" s="13"/>
      <c r="G55" s="13">
        <v>842800</v>
      </c>
      <c r="H55" s="13">
        <f>E55+F55-G55</f>
        <v>0</v>
      </c>
    </row>
    <row r="56" spans="1:8" ht="15.75">
      <c r="A56" s="9"/>
      <c r="B56" s="10"/>
      <c r="C56" s="11"/>
      <c r="D56" s="12" t="s">
        <v>91</v>
      </c>
      <c r="E56" s="13">
        <f>E36+E50+E39+E43+E47</f>
        <v>7468290.8799999999</v>
      </c>
      <c r="F56" s="13">
        <f>F36+F50+F39+F43+F47</f>
        <v>119581.41</v>
      </c>
      <c r="G56" s="13">
        <f>G36+G50+G39+G43+G47</f>
        <v>1828912.3399999999</v>
      </c>
      <c r="H56" s="13">
        <f>H36+H50+H39+H43+H47</f>
        <v>5758959.9500000002</v>
      </c>
    </row>
    <row r="58" spans="1:8">
      <c r="A58" s="390" t="s">
        <v>398</v>
      </c>
    </row>
    <row r="60" spans="1:8">
      <c r="F60" s="23"/>
    </row>
  </sheetData>
  <mergeCells count="3">
    <mergeCell ref="A3:H3"/>
    <mergeCell ref="A4:H4"/>
    <mergeCell ref="A5:H5"/>
  </mergeCells>
  <conditionalFormatting sqref="A16:B16">
    <cfRule type="expression" dxfId="38" priority="358" stopIfTrue="1">
      <formula>#REF! = "OGÓŁEM:"</formula>
    </cfRule>
    <cfRule type="expression" dxfId="37" priority="359" stopIfTrue="1">
      <formula>LEN($A16)&gt;1</formula>
    </cfRule>
    <cfRule type="expression" dxfId="36" priority="360" stopIfTrue="1">
      <formula>LEN($B16)&gt;1</formula>
    </cfRule>
  </conditionalFormatting>
  <conditionalFormatting sqref="A11:H15 A17:H22">
    <cfRule type="expression" dxfId="35" priority="25" stopIfTrue="1">
      <formula>$D11 = "OGÓŁEM:"</formula>
    </cfRule>
    <cfRule type="expression" dxfId="34" priority="26" stopIfTrue="1">
      <formula>LEN($A11)&gt;1</formula>
    </cfRule>
    <cfRule type="expression" dxfId="33" priority="27" stopIfTrue="1">
      <formula>LEN($B11)&gt;1</formula>
    </cfRule>
  </conditionalFormatting>
  <conditionalFormatting sqref="A36:H48">
    <cfRule type="expression" dxfId="32" priority="1" stopIfTrue="1">
      <formula>$D36 = "OGÓŁEM:"</formula>
    </cfRule>
    <cfRule type="expression" dxfId="31" priority="2" stopIfTrue="1">
      <formula>LEN($A36)&gt;1</formula>
    </cfRule>
    <cfRule type="expression" dxfId="30" priority="3" stopIfTrue="1">
      <formula>LEN($B36)&gt;1</formula>
    </cfRule>
  </conditionalFormatting>
  <conditionalFormatting sqref="C16:H16">
    <cfRule type="expression" dxfId="29" priority="367" stopIfTrue="1">
      <formula>$D16 = "OGÓŁEM:"</formula>
    </cfRule>
    <cfRule type="expression" dxfId="28" priority="368" stopIfTrue="1">
      <formula>LEN(#REF!)&gt;1</formula>
    </cfRule>
    <cfRule type="expression" dxfId="27" priority="369" stopIfTrue="1">
      <formula>LEN(#REF!)&gt;1</formula>
    </cfRule>
  </conditionalFormatting>
  <conditionalFormatting sqref="F23:H29 A23:E32 F49:H56 A49:E831">
    <cfRule type="expression" dxfId="26" priority="7" stopIfTrue="1">
      <formula>$D23 = "OGÓŁEM:"</formula>
    </cfRule>
    <cfRule type="expression" dxfId="25" priority="8" stopIfTrue="1">
      <formula>LEN($A23)&gt;1</formula>
    </cfRule>
    <cfRule type="expression" dxfId="24" priority="9" stopIfTrue="1">
      <formula>LEN($B23)&gt;1</formula>
    </cfRule>
  </conditionalFormatting>
  <conditionalFormatting sqref="F32:H32">
    <cfRule type="expression" dxfId="23" priority="46" stopIfTrue="1">
      <formula>$D32 = "OGÓŁEM:"</formula>
    </cfRule>
    <cfRule type="expression" dxfId="22" priority="47" stopIfTrue="1">
      <formula>LEN($A32)&gt;1</formula>
    </cfRule>
    <cfRule type="expression" dxfId="21" priority="48" stopIfTrue="1">
      <formula>LEN($B32)&gt;1</formula>
    </cfRule>
  </conditionalFormatting>
  <pageMargins left="0.51181102362204722" right="0.51181102362204722" top="0.74803149606299213" bottom="0.55118110236220474" header="0.31496062992125984" footer="0.31496062992125984"/>
  <pageSetup paperSize="9" scale="68" orientation="portrait" r:id="rId1"/>
  <headerFooter>
    <oddHeader xml:space="preserve">&amp;RZałącznik Nr 6
do Uchwały Nr XII/.../2024 
Rady Gminy Komorniki z dnia 28 listopada 2024r.
w sprawie uchwały budżetowej na 2024r.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C513-DB46-4730-AE6E-EC0151C2755E}">
  <dimension ref="A3:H54"/>
  <sheetViews>
    <sheetView topLeftCell="A29" workbookViewId="0">
      <selection activeCell="F39" sqref="F39"/>
    </sheetView>
  </sheetViews>
  <sheetFormatPr defaultRowHeight="15"/>
  <cols>
    <col min="1" max="1" width="5.5703125" style="1" customWidth="1"/>
    <col min="2" max="3" width="6.28515625" style="1" customWidth="1"/>
    <col min="4" max="4" width="57.5703125" style="1" customWidth="1"/>
    <col min="5" max="6" width="12.85546875" style="1" customWidth="1"/>
    <col min="7" max="8" width="13" style="1" customWidth="1"/>
    <col min="9" max="16384" width="9.140625" style="1"/>
  </cols>
  <sheetData>
    <row r="3" spans="1:8" ht="15.75">
      <c r="A3" s="560" t="s">
        <v>315</v>
      </c>
      <c r="B3" s="560"/>
      <c r="C3" s="560"/>
      <c r="D3" s="560"/>
      <c r="E3" s="560"/>
      <c r="F3" s="501"/>
      <c r="G3" s="501"/>
      <c r="H3" s="501"/>
    </row>
    <row r="4" spans="1:8" ht="15.75">
      <c r="A4" s="560" t="s">
        <v>316</v>
      </c>
      <c r="B4" s="561"/>
      <c r="C4" s="561"/>
      <c r="D4" s="561"/>
      <c r="E4" s="561"/>
      <c r="F4" s="501"/>
      <c r="G4" s="501"/>
      <c r="H4" s="501"/>
    </row>
    <row r="5" spans="1:8" ht="15.75">
      <c r="A5"/>
      <c r="B5"/>
      <c r="C5"/>
      <c r="D5" s="560" t="s">
        <v>216</v>
      </c>
      <c r="E5" s="501"/>
      <c r="F5" s="501"/>
    </row>
    <row r="6" spans="1:8" ht="15.75">
      <c r="D6" s="213"/>
    </row>
    <row r="7" spans="1:8" ht="15.75">
      <c r="A7" s="214" t="s">
        <v>213</v>
      </c>
      <c r="B7" s="215"/>
      <c r="C7" s="215"/>
      <c r="D7" s="216"/>
      <c r="E7" s="215"/>
      <c r="F7" s="215"/>
      <c r="G7" s="215"/>
      <c r="H7" s="215"/>
    </row>
    <row r="8" spans="1:8" ht="43.5">
      <c r="A8" s="255" t="s">
        <v>0</v>
      </c>
      <c r="B8" s="256" t="s">
        <v>1</v>
      </c>
      <c r="C8" s="257" t="s">
        <v>2</v>
      </c>
      <c r="D8" s="257" t="s">
        <v>3</v>
      </c>
      <c r="E8" s="257" t="s">
        <v>4</v>
      </c>
      <c r="F8" s="257" t="s">
        <v>312</v>
      </c>
      <c r="G8" s="257" t="s">
        <v>313</v>
      </c>
      <c r="H8" s="257" t="s">
        <v>314</v>
      </c>
    </row>
    <row r="9" spans="1:8" ht="12.75" customHeight="1">
      <c r="A9" s="37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</row>
    <row r="10" spans="1:8" ht="15.75" hidden="1" customHeight="1">
      <c r="A10" s="60"/>
      <c r="B10" s="61"/>
      <c r="C10" s="61"/>
      <c r="D10" s="61"/>
      <c r="E10" s="61"/>
      <c r="F10" s="31"/>
      <c r="G10" s="31"/>
      <c r="H10" s="31"/>
    </row>
    <row r="11" spans="1:8" hidden="1">
      <c r="A11" s="217">
        <v>600</v>
      </c>
      <c r="B11" s="218"/>
      <c r="C11" s="219"/>
      <c r="D11" s="220" t="s">
        <v>12</v>
      </c>
      <c r="E11" s="221">
        <f>E12</f>
        <v>8000000</v>
      </c>
      <c r="F11" s="31"/>
      <c r="G11" s="31"/>
      <c r="H11" s="31"/>
    </row>
    <row r="12" spans="1:8" hidden="1">
      <c r="A12" s="217"/>
      <c r="B12" s="218">
        <v>60016</v>
      </c>
      <c r="C12" s="219"/>
      <c r="D12" s="220" t="s">
        <v>16</v>
      </c>
      <c r="E12" s="221">
        <f>SUM(E13:E13)</f>
        <v>8000000</v>
      </c>
      <c r="F12" s="31"/>
      <c r="G12" s="31"/>
      <c r="H12" s="31"/>
    </row>
    <row r="13" spans="1:8" ht="25.5" hidden="1">
      <c r="A13" s="217"/>
      <c r="B13" s="218"/>
      <c r="C13" s="222">
        <v>6370</v>
      </c>
      <c r="D13" s="223" t="s">
        <v>187</v>
      </c>
      <c r="E13" s="224">
        <v>8000000</v>
      </c>
      <c r="F13" s="31"/>
      <c r="G13" s="31"/>
      <c r="H13" s="31"/>
    </row>
    <row r="14" spans="1:8">
      <c r="A14" s="225">
        <v>750</v>
      </c>
      <c r="B14" s="226"/>
      <c r="C14" s="222"/>
      <c r="D14" s="223" t="s">
        <v>28</v>
      </c>
      <c r="E14" s="221">
        <f>E15</f>
        <v>7920.98</v>
      </c>
      <c r="F14" s="221">
        <f t="shared" ref="F14:H15" si="0">F15</f>
        <v>2431.0100000000002</v>
      </c>
      <c r="G14" s="221">
        <f t="shared" si="0"/>
        <v>0</v>
      </c>
      <c r="H14" s="221">
        <f t="shared" si="0"/>
        <v>10351.99</v>
      </c>
    </row>
    <row r="15" spans="1:8">
      <c r="A15" s="217"/>
      <c r="B15" s="218">
        <v>75095</v>
      </c>
      <c r="C15" s="219"/>
      <c r="D15" s="220" t="s">
        <v>8</v>
      </c>
      <c r="E15" s="221">
        <f>E16</f>
        <v>7920.98</v>
      </c>
      <c r="F15" s="221">
        <f t="shared" si="0"/>
        <v>2431.0100000000002</v>
      </c>
      <c r="G15" s="221">
        <f t="shared" si="0"/>
        <v>0</v>
      </c>
      <c r="H15" s="221">
        <f t="shared" si="0"/>
        <v>10351.99</v>
      </c>
    </row>
    <row r="16" spans="1:8" ht="25.5">
      <c r="A16" s="225"/>
      <c r="B16" s="226"/>
      <c r="C16" s="222">
        <v>2100</v>
      </c>
      <c r="D16" s="223" t="s">
        <v>317</v>
      </c>
      <c r="E16" s="224">
        <f>31.38+925.04+766.49+2304.69+2252.6+1640.78</f>
        <v>7920.98</v>
      </c>
      <c r="F16" s="224">
        <v>2431.0100000000002</v>
      </c>
      <c r="G16" s="224"/>
      <c r="H16" s="224">
        <f>E16+F16-G16</f>
        <v>10351.99</v>
      </c>
    </row>
    <row r="17" spans="1:8">
      <c r="A17" s="239">
        <v>801</v>
      </c>
      <c r="B17" s="240"/>
      <c r="C17" s="241"/>
      <c r="D17" s="242" t="s">
        <v>58</v>
      </c>
      <c r="E17" s="238">
        <f>E18+E53+E65+E92+E95+E104+E106+E108+E111+E124+E114+E122</f>
        <v>1717669</v>
      </c>
      <c r="F17" s="238">
        <f>F18+F53+F65+F92+F95+F104+F106+F108+F111+F124+F114+F122</f>
        <v>178112</v>
      </c>
      <c r="G17" s="238">
        <f>G18+G53+G65+G92+G95+G104+G106+G108+G111+G124+G114+G122</f>
        <v>0</v>
      </c>
      <c r="H17" s="238">
        <f>H18+H53+H65+H92+H95+H104+H106+H108+H111+H124+H114+H122</f>
        <v>1895781</v>
      </c>
    </row>
    <row r="18" spans="1:8" ht="15.75">
      <c r="A18" s="68"/>
      <c r="B18" s="240">
        <v>80195</v>
      </c>
      <c r="C18" s="70"/>
      <c r="D18" s="242" t="s">
        <v>8</v>
      </c>
      <c r="E18" s="238">
        <f>SUM(E19)</f>
        <v>1717669</v>
      </c>
      <c r="F18" s="238">
        <f>SUM(F19)</f>
        <v>178112</v>
      </c>
      <c r="G18" s="238">
        <f>SUM(G19)</f>
        <v>0</v>
      </c>
      <c r="H18" s="238">
        <f>SUM(H19)</f>
        <v>1895781</v>
      </c>
    </row>
    <row r="19" spans="1:8" ht="25.5">
      <c r="A19" s="68"/>
      <c r="B19" s="69"/>
      <c r="C19" s="241">
        <v>2100</v>
      </c>
      <c r="D19" s="242" t="s">
        <v>317</v>
      </c>
      <c r="E19" s="238">
        <f>357133+347577+164419+167654+167086+171896+341904</f>
        <v>1717669</v>
      </c>
      <c r="F19" s="238">
        <v>178112</v>
      </c>
      <c r="G19" s="238"/>
      <c r="H19" s="238">
        <f>E19+F19-G19</f>
        <v>1895781</v>
      </c>
    </row>
    <row r="20" spans="1:8">
      <c r="A20" s="217">
        <v>852</v>
      </c>
      <c r="B20" s="218"/>
      <c r="C20" s="219"/>
      <c r="D20" s="220" t="s">
        <v>67</v>
      </c>
      <c r="E20" s="221">
        <f>E21</f>
        <v>615463.69000000006</v>
      </c>
      <c r="F20" s="221">
        <f t="shared" ref="F20:H21" si="1">F21</f>
        <v>2930.19</v>
      </c>
      <c r="G20" s="221">
        <f t="shared" si="1"/>
        <v>0</v>
      </c>
      <c r="H20" s="221">
        <f t="shared" si="1"/>
        <v>618393.88</v>
      </c>
    </row>
    <row r="21" spans="1:8">
      <c r="A21" s="217"/>
      <c r="B21" s="218">
        <v>85231</v>
      </c>
      <c r="C21" s="219"/>
      <c r="D21" s="220" t="s">
        <v>318</v>
      </c>
      <c r="E21" s="221">
        <f>E22</f>
        <v>615463.69000000006</v>
      </c>
      <c r="F21" s="221">
        <f t="shared" si="1"/>
        <v>2930.19</v>
      </c>
      <c r="G21" s="221">
        <f t="shared" si="1"/>
        <v>0</v>
      </c>
      <c r="H21" s="221">
        <f t="shared" si="1"/>
        <v>618393.88</v>
      </c>
    </row>
    <row r="22" spans="1:8" ht="25.5">
      <c r="A22" s="217"/>
      <c r="B22" s="218"/>
      <c r="C22" s="222">
        <v>2100</v>
      </c>
      <c r="D22" s="223" t="s">
        <v>317</v>
      </c>
      <c r="E22" s="224">
        <f>13000+46304+74596+159485.63+68071.63+36328+40351.6+262980+1450.42-87103.59</f>
        <v>615463.69000000006</v>
      </c>
      <c r="F22" s="224">
        <v>2930.19</v>
      </c>
      <c r="G22" s="224"/>
      <c r="H22" s="224">
        <f>E22+F22-G22</f>
        <v>618393.88</v>
      </c>
    </row>
    <row r="23" spans="1:8" ht="18.75">
      <c r="A23" s="227"/>
      <c r="B23" s="228"/>
      <c r="C23" s="229"/>
      <c r="D23" s="230" t="s">
        <v>91</v>
      </c>
      <c r="E23" s="231">
        <f>E20+E14+E18</f>
        <v>2341053.67</v>
      </c>
      <c r="F23" s="231">
        <f>F20+F14+F18</f>
        <v>183473.2</v>
      </c>
      <c r="G23" s="231">
        <f>G20+G14+G18</f>
        <v>0</v>
      </c>
      <c r="H23" s="231">
        <f>H20+H14+H18</f>
        <v>2524526.87</v>
      </c>
    </row>
    <row r="24" spans="1:8" ht="13.5" customHeight="1">
      <c r="A24" s="232"/>
      <c r="B24" s="233"/>
      <c r="C24" s="234"/>
      <c r="D24" s="235"/>
      <c r="E24" s="236"/>
    </row>
    <row r="25" spans="1:8" ht="15.75" customHeight="1">
      <c r="A25"/>
      <c r="B25"/>
      <c r="C25"/>
      <c r="D25"/>
      <c r="E25"/>
    </row>
    <row r="26" spans="1:8" ht="15.75" customHeight="1">
      <c r="A26" t="s">
        <v>214</v>
      </c>
      <c r="B26"/>
      <c r="C26"/>
      <c r="D26" s="237"/>
      <c r="E26"/>
    </row>
    <row r="27" spans="1:8" ht="43.5">
      <c r="A27" s="199" t="s">
        <v>0</v>
      </c>
      <c r="B27" s="200" t="s">
        <v>1</v>
      </c>
      <c r="C27" s="201" t="s">
        <v>2</v>
      </c>
      <c r="D27" s="201" t="s">
        <v>3</v>
      </c>
      <c r="E27" s="201" t="s">
        <v>4</v>
      </c>
      <c r="F27" s="257" t="s">
        <v>312</v>
      </c>
      <c r="G27" s="257" t="s">
        <v>313</v>
      </c>
      <c r="H27" s="257" t="s">
        <v>314</v>
      </c>
    </row>
    <row r="28" spans="1:8">
      <c r="A28" s="258">
        <v>1</v>
      </c>
      <c r="B28" s="259">
        <v>2</v>
      </c>
      <c r="C28" s="259">
        <v>3</v>
      </c>
      <c r="D28" s="259">
        <v>4</v>
      </c>
      <c r="E28" s="259">
        <v>5</v>
      </c>
      <c r="F28" s="260">
        <v>6</v>
      </c>
      <c r="G28" s="260">
        <v>7</v>
      </c>
      <c r="H28" s="260">
        <v>8</v>
      </c>
    </row>
    <row r="29" spans="1:8" ht="14.25" customHeight="1">
      <c r="A29" s="7"/>
      <c r="B29" s="8"/>
      <c r="C29" s="8"/>
      <c r="D29" s="8"/>
      <c r="E29" s="8"/>
      <c r="F29" s="8"/>
      <c r="G29" s="8"/>
      <c r="H29" s="8"/>
    </row>
    <row r="30" spans="1:8">
      <c r="A30" s="166">
        <v>750</v>
      </c>
      <c r="B30" s="108"/>
      <c r="C30" s="109"/>
      <c r="D30" s="110" t="s">
        <v>28</v>
      </c>
      <c r="E30" s="238">
        <f>E31</f>
        <v>7920.9800000000005</v>
      </c>
      <c r="F30" s="238">
        <f>F31</f>
        <v>2431.0099999999998</v>
      </c>
      <c r="G30" s="238">
        <f>G31</f>
        <v>0</v>
      </c>
      <c r="H30" s="238">
        <f>H31</f>
        <v>10351.990000000002</v>
      </c>
    </row>
    <row r="31" spans="1:8">
      <c r="A31" s="239"/>
      <c r="B31" s="240">
        <v>75095</v>
      </c>
      <c r="C31" s="241"/>
      <c r="D31" s="242" t="s">
        <v>8</v>
      </c>
      <c r="E31" s="238">
        <f>SUM(E32:E33)</f>
        <v>7920.9800000000005</v>
      </c>
      <c r="F31" s="238">
        <f>SUM(F32:F33)</f>
        <v>2431.0099999999998</v>
      </c>
      <c r="G31" s="238">
        <f>SUM(G32:G33)</f>
        <v>0</v>
      </c>
      <c r="H31" s="238">
        <f>SUM(H32:H33)</f>
        <v>10351.990000000002</v>
      </c>
    </row>
    <row r="32" spans="1:8" ht="25.5">
      <c r="A32" s="239"/>
      <c r="B32" s="240"/>
      <c r="C32" s="109">
        <v>4740</v>
      </c>
      <c r="D32" s="110" t="s">
        <v>319</v>
      </c>
      <c r="E32" s="114">
        <f>26.25+773.77+643.19+1930.55+1881.01+1374.42</f>
        <v>6629.1900000000005</v>
      </c>
      <c r="F32" s="114">
        <v>2036.36</v>
      </c>
      <c r="G32" s="114"/>
      <c r="H32" s="114">
        <f>E32+F32-G32</f>
        <v>8665.5500000000011</v>
      </c>
    </row>
    <row r="33" spans="1:8" ht="25.5">
      <c r="A33" s="239"/>
      <c r="B33" s="240"/>
      <c r="C33" s="222">
        <v>4850</v>
      </c>
      <c r="D33" s="249" t="s">
        <v>322</v>
      </c>
      <c r="E33" s="114">
        <f>5.13+151.27+123.3+374.14+371.59+266.36</f>
        <v>1291.79</v>
      </c>
      <c r="F33" s="114">
        <v>394.65</v>
      </c>
      <c r="G33" s="114"/>
      <c r="H33" s="114">
        <f>E33+F33-G33</f>
        <v>1686.44</v>
      </c>
    </row>
    <row r="34" spans="1:8">
      <c r="A34" s="239">
        <v>801</v>
      </c>
      <c r="B34" s="240"/>
      <c r="C34" s="241"/>
      <c r="D34" s="242" t="s">
        <v>58</v>
      </c>
      <c r="E34" s="238">
        <f>E35+E71+E83+E110+E113+E122+E124+E126+E129+E142+E132+E140</f>
        <v>1743263.0799999998</v>
      </c>
      <c r="F34" s="238">
        <f>F35+F71+F83+F110+F113+F122+F124+F126+F129+F142+F132+F140</f>
        <v>288112</v>
      </c>
      <c r="G34" s="238">
        <f>G35+G71+G83+G110+G113+G122+G124+G126+G129+G142+G132+G140</f>
        <v>110000</v>
      </c>
      <c r="H34" s="238">
        <f>H35+H71+H83+H110+H113+H122+H124+H126+H129+H142+H132+H140</f>
        <v>1921375.0799999998</v>
      </c>
    </row>
    <row r="35" spans="1:8" ht="15.75">
      <c r="A35" s="68"/>
      <c r="B35" s="240">
        <v>80195</v>
      </c>
      <c r="C35" s="70"/>
      <c r="D35" s="242" t="s">
        <v>8</v>
      </c>
      <c r="E35" s="238">
        <f>SUM(E36:E42)</f>
        <v>1743263.0799999998</v>
      </c>
      <c r="F35" s="238">
        <f>SUM(F36:F42)</f>
        <v>288112</v>
      </c>
      <c r="G35" s="238">
        <f>SUM(G36:G42)</f>
        <v>110000</v>
      </c>
      <c r="H35" s="238">
        <f>SUM(H36:H42)</f>
        <v>1921375.0799999998</v>
      </c>
    </row>
    <row r="36" spans="1:8" ht="24" customHeight="1">
      <c r="A36" s="239"/>
      <c r="B36" s="240"/>
      <c r="C36" s="109">
        <v>2540</v>
      </c>
      <c r="D36" s="110" t="s">
        <v>142</v>
      </c>
      <c r="E36" s="114">
        <f>105200.64-81024.46+33418.58+25594.08+15930.68+107743.9</f>
        <v>206863.41999999998</v>
      </c>
      <c r="F36" s="114"/>
      <c r="G36" s="114">
        <v>50000</v>
      </c>
      <c r="H36" s="114">
        <f>E36+F36-G36</f>
        <v>156863.41999999998</v>
      </c>
    </row>
    <row r="37" spans="1:8" ht="35.25" customHeight="1">
      <c r="A37" s="239"/>
      <c r="B37" s="240"/>
      <c r="C37" s="109">
        <v>2590</v>
      </c>
      <c r="D37" s="110" t="s">
        <v>149</v>
      </c>
      <c r="E37" s="114">
        <f>24176.18+81024.46+121638.24+151723.32+62485.8+234160.1</f>
        <v>675208.1</v>
      </c>
      <c r="F37" s="114"/>
      <c r="G37" s="114">
        <f>20000+40000</f>
        <v>60000</v>
      </c>
      <c r="H37" s="114">
        <f t="shared" ref="H37:H42" si="2">E37+F37-G37</f>
        <v>615208.1</v>
      </c>
    </row>
    <row r="38" spans="1:8" ht="24" customHeight="1">
      <c r="A38" s="239"/>
      <c r="B38" s="240"/>
      <c r="C38" s="109">
        <v>4350</v>
      </c>
      <c r="D38" s="110" t="s">
        <v>323</v>
      </c>
      <c r="E38" s="114">
        <f>211842.78+105210+132709+118000+49410.2</f>
        <v>617171.98</v>
      </c>
      <c r="F38" s="114">
        <f>167205+70000+40000</f>
        <v>277205</v>
      </c>
      <c r="G38" s="114"/>
      <c r="H38" s="114">
        <f t="shared" si="2"/>
        <v>894376.98</v>
      </c>
    </row>
    <row r="39" spans="1:8" ht="13.5" customHeight="1">
      <c r="A39" s="239"/>
      <c r="B39" s="240"/>
      <c r="C39" s="109">
        <v>4370</v>
      </c>
      <c r="D39" s="110" t="s">
        <v>348</v>
      </c>
      <c r="E39" s="114">
        <f>32226.23+23400+46436+60000</f>
        <v>162062.22999999998</v>
      </c>
      <c r="F39" s="114"/>
      <c r="G39" s="114"/>
      <c r="H39" s="114">
        <f t="shared" si="2"/>
        <v>162062.22999999998</v>
      </c>
    </row>
    <row r="40" spans="1:8" ht="25.5">
      <c r="A40" s="239"/>
      <c r="B40" s="240"/>
      <c r="C40" s="109">
        <v>4740</v>
      </c>
      <c r="D40" s="110" t="s">
        <v>319</v>
      </c>
      <c r="E40" s="114">
        <f>6000+39405+2200</f>
        <v>47605</v>
      </c>
      <c r="F40" s="430"/>
      <c r="G40" s="114"/>
      <c r="H40" s="114">
        <f t="shared" si="2"/>
        <v>47605</v>
      </c>
    </row>
    <row r="41" spans="1:8" ht="25.5">
      <c r="A41" s="239"/>
      <c r="B41" s="240"/>
      <c r="C41" s="109">
        <v>4750</v>
      </c>
      <c r="D41" s="110" t="s">
        <v>345</v>
      </c>
      <c r="E41" s="114">
        <f>8478.4+5101+6750</f>
        <v>20329.400000000001</v>
      </c>
      <c r="F41" s="114">
        <v>9200</v>
      </c>
      <c r="G41" s="114"/>
      <c r="H41" s="114">
        <f t="shared" si="2"/>
        <v>29529.4</v>
      </c>
    </row>
    <row r="42" spans="1:8" ht="25.5">
      <c r="A42" s="239"/>
      <c r="B42" s="240"/>
      <c r="C42" s="109">
        <v>4850</v>
      </c>
      <c r="D42" s="110" t="s">
        <v>322</v>
      </c>
      <c r="E42" s="114">
        <f>1435+10577.95+1560+450</f>
        <v>14022.95</v>
      </c>
      <c r="F42" s="114">
        <v>1707</v>
      </c>
      <c r="G42" s="114"/>
      <c r="H42" s="114">
        <f t="shared" si="2"/>
        <v>15729.95</v>
      </c>
    </row>
    <row r="43" spans="1:8">
      <c r="A43" s="239">
        <v>852</v>
      </c>
      <c r="B43" s="240"/>
      <c r="C43" s="241"/>
      <c r="D43" s="242" t="s">
        <v>67</v>
      </c>
      <c r="E43" s="238">
        <f>E44</f>
        <v>615463.68999999994</v>
      </c>
      <c r="F43" s="238">
        <f>F44</f>
        <v>2930.19</v>
      </c>
      <c r="G43" s="238">
        <f>G44</f>
        <v>0</v>
      </c>
      <c r="H43" s="238">
        <f>H44</f>
        <v>618393.87999999989</v>
      </c>
    </row>
    <row r="44" spans="1:8">
      <c r="A44" s="239"/>
      <c r="B44" s="240">
        <v>85231</v>
      </c>
      <c r="C44" s="241"/>
      <c r="D44" s="242" t="s">
        <v>318</v>
      </c>
      <c r="E44" s="238">
        <f>SUM(E45:E51)</f>
        <v>615463.68999999994</v>
      </c>
      <c r="F44" s="238">
        <f>SUM(F45:F51)</f>
        <v>2930.19</v>
      </c>
      <c r="G44" s="238">
        <f>SUM(G45:G51)</f>
        <v>0</v>
      </c>
      <c r="H44" s="238">
        <f>SUM(H45:H51)</f>
        <v>618393.87999999989</v>
      </c>
    </row>
    <row r="45" spans="1:8">
      <c r="A45" s="239"/>
      <c r="B45" s="240"/>
      <c r="C45" s="241">
        <v>3280</v>
      </c>
      <c r="D45" s="242" t="s">
        <v>320</v>
      </c>
      <c r="E45" s="238">
        <f>12621+27299+58600+90240+46400+30720+36040+129000-132840</f>
        <v>298080</v>
      </c>
      <c r="F45" s="238"/>
      <c r="G45" s="238"/>
      <c r="H45" s="238">
        <f t="shared" ref="H45:H51" si="3">E45+F45-G45</f>
        <v>298080</v>
      </c>
    </row>
    <row r="46" spans="1:8" ht="25.5">
      <c r="A46" s="239"/>
      <c r="B46" s="240"/>
      <c r="C46" s="109">
        <v>3290</v>
      </c>
      <c r="D46" s="242" t="s">
        <v>326</v>
      </c>
      <c r="E46" s="238">
        <f>18562.18+15101.39+66708.8+20679.92+4901.96+4135.6+129417+1450.42+18812.29</f>
        <v>279769.56</v>
      </c>
      <c r="F46" s="238">
        <v>2480.5500000000002</v>
      </c>
      <c r="G46" s="238"/>
      <c r="H46" s="238">
        <f t="shared" si="3"/>
        <v>282250.11</v>
      </c>
    </row>
    <row r="47" spans="1:8" ht="25.5">
      <c r="A47" s="239"/>
      <c r="B47" s="240"/>
      <c r="C47" s="241">
        <v>4350</v>
      </c>
      <c r="D47" s="242" t="s">
        <v>321</v>
      </c>
      <c r="E47" s="238">
        <f>379+442.82+894.61+282.83+58.82+98.04+176+3523-3950.12</f>
        <v>1905</v>
      </c>
      <c r="F47" s="238"/>
      <c r="G47" s="238"/>
      <c r="H47" s="238">
        <f t="shared" si="3"/>
        <v>1905</v>
      </c>
    </row>
    <row r="48" spans="1:8">
      <c r="A48" s="239"/>
      <c r="B48" s="240"/>
      <c r="C48" s="109">
        <v>4370</v>
      </c>
      <c r="D48" s="110" t="s">
        <v>348</v>
      </c>
      <c r="E48" s="238">
        <f>1758+436.89</f>
        <v>2194.89</v>
      </c>
      <c r="F48" s="238"/>
      <c r="G48" s="238"/>
      <c r="H48" s="238">
        <f t="shared" si="3"/>
        <v>2194.89</v>
      </c>
    </row>
    <row r="49" spans="1:8" ht="25.5">
      <c r="A49" s="239"/>
      <c r="B49" s="240"/>
      <c r="C49" s="109">
        <v>4740</v>
      </c>
      <c r="D49" s="110" t="s">
        <v>319</v>
      </c>
      <c r="E49" s="238">
        <f>410+410+502.48+860+3783.71</f>
        <v>5966.1900000000005</v>
      </c>
      <c r="F49" s="238"/>
      <c r="G49" s="238"/>
      <c r="H49" s="238">
        <f t="shared" si="3"/>
        <v>5966.1900000000005</v>
      </c>
    </row>
    <row r="50" spans="1:8" ht="25.5">
      <c r="A50" s="166"/>
      <c r="B50" s="108"/>
      <c r="C50" s="109">
        <v>4850</v>
      </c>
      <c r="D50" s="110" t="s">
        <v>322</v>
      </c>
      <c r="E50" s="114">
        <f>86+86+105.52+180+745.2</f>
        <v>1202.72</v>
      </c>
      <c r="F50" s="114"/>
      <c r="G50" s="114"/>
      <c r="H50" s="238">
        <f t="shared" si="3"/>
        <v>1202.72</v>
      </c>
    </row>
    <row r="51" spans="1:8" ht="23.25" customHeight="1">
      <c r="A51" s="166"/>
      <c r="B51" s="108"/>
      <c r="C51" s="109">
        <v>4860</v>
      </c>
      <c r="D51" s="110" t="s">
        <v>477</v>
      </c>
      <c r="E51" s="114">
        <v>26345.33</v>
      </c>
      <c r="F51" s="114">
        <v>449.64</v>
      </c>
      <c r="G51" s="114"/>
      <c r="H51" s="238">
        <f t="shared" si="3"/>
        <v>26794.97</v>
      </c>
    </row>
    <row r="52" spans="1:8" ht="18.75">
      <c r="A52" s="243"/>
      <c r="B52" s="244"/>
      <c r="C52" s="245"/>
      <c r="D52" s="71" t="s">
        <v>91</v>
      </c>
      <c r="E52" s="72">
        <f>E30+E43+E34</f>
        <v>2366647.75</v>
      </c>
      <c r="F52" s="72">
        <f>F30+F43+F34</f>
        <v>293473.2</v>
      </c>
      <c r="G52" s="72">
        <f>G30+G43+G34</f>
        <v>110000</v>
      </c>
      <c r="H52" s="72">
        <f>H30+H43+H34</f>
        <v>2550120.9499999997</v>
      </c>
    </row>
    <row r="54" spans="1:8">
      <c r="A54" s="390" t="s">
        <v>391</v>
      </c>
    </row>
  </sheetData>
  <mergeCells count="3">
    <mergeCell ref="A3:H3"/>
    <mergeCell ref="A4:H4"/>
    <mergeCell ref="D5:F5"/>
  </mergeCells>
  <conditionalFormatting sqref="A11:E16 F14:H16 F20:H23 A20:E26 F26:H26">
    <cfRule type="expression" dxfId="20" priority="46" stopIfTrue="1">
      <formula>$D11 = "OGÓŁEM:"</formula>
    </cfRule>
    <cfRule type="expression" dxfId="19" priority="47" stopIfTrue="1">
      <formula>LEN($A11)&gt;1</formula>
    </cfRule>
    <cfRule type="expression" dxfId="18" priority="48" stopIfTrue="1">
      <formula>LEN($B11)&gt;1</formula>
    </cfRule>
  </conditionalFormatting>
  <conditionalFormatting sqref="A30:E32 E33">
    <cfRule type="expression" dxfId="17" priority="43" stopIfTrue="1">
      <formula>$D30 = "OGÓŁEM:"</formula>
    </cfRule>
    <cfRule type="expression" dxfId="16" priority="44" stopIfTrue="1">
      <formula>LEN($A30)&gt;1</formula>
    </cfRule>
    <cfRule type="expression" dxfId="15" priority="45" stopIfTrue="1">
      <formula>LEN($B30)&gt;1</formula>
    </cfRule>
  </conditionalFormatting>
  <conditionalFormatting sqref="A36:E827">
    <cfRule type="expression" dxfId="14" priority="1" stopIfTrue="1">
      <formula>$D36 = "OGÓŁEM:"</formula>
    </cfRule>
    <cfRule type="expression" dxfId="13" priority="2" stopIfTrue="1">
      <formula>LEN($A36)&gt;1</formula>
    </cfRule>
    <cfRule type="expression" dxfId="12" priority="3" stopIfTrue="1">
      <formula>LEN($B36)&gt;1</formula>
    </cfRule>
  </conditionalFormatting>
  <conditionalFormatting sqref="A17:H19">
    <cfRule type="expression" dxfId="11" priority="31" stopIfTrue="1">
      <formula>$D17 = "OGÓŁEM:"</formula>
    </cfRule>
    <cfRule type="expression" dxfId="10" priority="32" stopIfTrue="1">
      <formula>LEN($A17)&gt;1</formula>
    </cfRule>
    <cfRule type="expression" dxfId="9" priority="33" stopIfTrue="1">
      <formula>LEN($B17)&gt;1</formula>
    </cfRule>
  </conditionalFormatting>
  <conditionalFormatting sqref="A34:H35">
    <cfRule type="expression" dxfId="8" priority="25" stopIfTrue="1">
      <formula>$D34 = "OGÓŁEM:"</formula>
    </cfRule>
    <cfRule type="expression" dxfId="7" priority="26" stopIfTrue="1">
      <formula>LEN($A34)&gt;1</formula>
    </cfRule>
    <cfRule type="expression" dxfId="6" priority="27" stopIfTrue="1">
      <formula>LEN($B34)&gt;1</formula>
    </cfRule>
  </conditionalFormatting>
  <conditionalFormatting sqref="F30:H33 A33:C33">
    <cfRule type="expression" dxfId="5" priority="40" stopIfTrue="1">
      <formula>$D30 = "OGÓŁEM:"</formula>
    </cfRule>
    <cfRule type="expression" dxfId="4" priority="41" stopIfTrue="1">
      <formula>LEN($A30)&gt;1</formula>
    </cfRule>
    <cfRule type="expression" dxfId="3" priority="42" stopIfTrue="1">
      <formula>LEN($B30)&gt;1</formula>
    </cfRule>
  </conditionalFormatting>
  <conditionalFormatting sqref="F36:H52">
    <cfRule type="expression" dxfId="2" priority="4" stopIfTrue="1">
      <formula>$D36 = "OGÓŁEM:"</formula>
    </cfRule>
    <cfRule type="expression" dxfId="1" priority="5" stopIfTrue="1">
      <formula>LEN($A36)&gt;1</formula>
    </cfRule>
    <cfRule type="expression" dxfId="0" priority="6" stopIfTrue="1">
      <formula>LEN($B36)&gt;1</formula>
    </cfRule>
  </conditionalFormatting>
  <pageMargins left="0.11811023622047245" right="0.11811023622047245" top="0.74803149606299213" bottom="0.74803149606299213" header="0.31496062992125984" footer="0.31496062992125984"/>
  <pageSetup paperSize="9" scale="75" orientation="portrait" r:id="rId1"/>
  <headerFooter>
    <oddHeader xml:space="preserve">&amp;RZałącznik Nr 7
do Uchwały Nr XII/..../2024 
Rady Gminy Komorniki z dnia 28 listopada 2024r.    
w sprawie uchwały budżetowej na 2024r.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C247-3FFC-4FBD-B8F3-98003DA6ECD7}">
  <sheetPr codeName="Arkusz10"/>
  <dimension ref="A2:H76"/>
  <sheetViews>
    <sheetView topLeftCell="A52" zoomScale="75" zoomScaleNormal="75" zoomScaleSheetLayoutView="75" workbookViewId="0">
      <selection activeCell="D76" sqref="D76"/>
    </sheetView>
  </sheetViews>
  <sheetFormatPr defaultRowHeight="15"/>
  <cols>
    <col min="1" max="1" width="6.42578125" style="31" customWidth="1"/>
    <col min="2" max="2" width="7.85546875" style="31" customWidth="1"/>
    <col min="3" max="3" width="6.7109375" style="31" customWidth="1"/>
    <col min="4" max="4" width="59.42578125" style="31" customWidth="1"/>
    <col min="5" max="5" width="16.42578125" style="31" customWidth="1"/>
    <col min="6" max="6" width="15.140625" style="31" customWidth="1"/>
    <col min="7" max="7" width="15.28515625" style="31" customWidth="1"/>
    <col min="8" max="8" width="16.140625" style="31" customWidth="1"/>
    <col min="9" max="16384" width="9.140625" style="31"/>
  </cols>
  <sheetData>
    <row r="2" spans="1:8" ht="23.25">
      <c r="C2" s="162"/>
      <c r="D2" s="285" t="s">
        <v>300</v>
      </c>
    </row>
    <row r="3" spans="1:8" ht="12" customHeight="1">
      <c r="A3" s="27"/>
      <c r="B3" s="27"/>
      <c r="C3" s="28"/>
      <c r="D3" s="29"/>
      <c r="E3" s="30"/>
    </row>
    <row r="4" spans="1:8" ht="18.75" customHeight="1">
      <c r="A4" s="27"/>
      <c r="B4" s="291"/>
      <c r="C4" s="507" t="s">
        <v>353</v>
      </c>
      <c r="D4" s="508"/>
      <c r="E4" s="508"/>
    </row>
    <row r="5" spans="1:8" ht="9.75" customHeight="1">
      <c r="A5" s="265"/>
      <c r="B5" s="266"/>
      <c r="C5" s="505"/>
      <c r="D5" s="506"/>
      <c r="E5" s="506"/>
      <c r="F5" s="264"/>
      <c r="G5" s="264"/>
      <c r="H5" s="264"/>
    </row>
    <row r="6" spans="1:8" ht="48.75" customHeight="1">
      <c r="A6" s="292" t="s">
        <v>0</v>
      </c>
      <c r="B6" s="293" t="s">
        <v>1</v>
      </c>
      <c r="C6" s="294" t="s">
        <v>2</v>
      </c>
      <c r="D6" s="294" t="s">
        <v>3</v>
      </c>
      <c r="E6" s="294" t="s">
        <v>4</v>
      </c>
      <c r="F6" s="251" t="s">
        <v>312</v>
      </c>
      <c r="G6" s="251" t="s">
        <v>313</v>
      </c>
      <c r="H6" s="267" t="s">
        <v>314</v>
      </c>
    </row>
    <row r="7" spans="1:8">
      <c r="A7" s="37">
        <v>1</v>
      </c>
      <c r="B7" s="38">
        <v>2</v>
      </c>
      <c r="C7" s="38">
        <v>3</v>
      </c>
      <c r="D7" s="38">
        <v>4</v>
      </c>
      <c r="E7" s="38">
        <v>5</v>
      </c>
      <c r="F7" s="212">
        <v>6</v>
      </c>
      <c r="G7" s="212">
        <v>7</v>
      </c>
      <c r="H7" s="268">
        <v>8</v>
      </c>
    </row>
    <row r="8" spans="1:8" ht="15.75">
      <c r="A8" s="94">
        <v>10</v>
      </c>
      <c r="B8" s="95"/>
      <c r="C8" s="96"/>
      <c r="D8" s="97" t="s">
        <v>5</v>
      </c>
      <c r="E8" s="98">
        <f t="shared" ref="E8:H9" si="0">E9</f>
        <v>319591.24</v>
      </c>
      <c r="F8" s="98">
        <f t="shared" si="0"/>
        <v>0</v>
      </c>
      <c r="G8" s="98">
        <f t="shared" si="0"/>
        <v>0</v>
      </c>
      <c r="H8" s="295">
        <f t="shared" si="0"/>
        <v>319591.24</v>
      </c>
    </row>
    <row r="9" spans="1:8" ht="15.75">
      <c r="A9" s="9"/>
      <c r="B9" s="10">
        <v>1095</v>
      </c>
      <c r="C9" s="11"/>
      <c r="D9" s="12" t="s">
        <v>8</v>
      </c>
      <c r="E9" s="13">
        <f t="shared" si="0"/>
        <v>319591.24</v>
      </c>
      <c r="F9" s="13">
        <f t="shared" si="0"/>
        <v>0</v>
      </c>
      <c r="G9" s="13">
        <f t="shared" si="0"/>
        <v>0</v>
      </c>
      <c r="H9" s="271">
        <f t="shared" si="0"/>
        <v>319591.24</v>
      </c>
    </row>
    <row r="10" spans="1:8" ht="63">
      <c r="A10" s="44"/>
      <c r="B10" s="45"/>
      <c r="C10" s="46">
        <v>2010</v>
      </c>
      <c r="D10" s="47" t="s">
        <v>9</v>
      </c>
      <c r="E10" s="73">
        <f>150482.09+169109.15</f>
        <v>319591.24</v>
      </c>
      <c r="F10" s="73"/>
      <c r="G10" s="73"/>
      <c r="H10" s="262">
        <f>E10+F10-G10</f>
        <v>319591.24</v>
      </c>
    </row>
    <row r="11" spans="1:8" ht="15.75">
      <c r="A11" s="9">
        <v>750</v>
      </c>
      <c r="B11" s="10"/>
      <c r="C11" s="11"/>
      <c r="D11" s="12" t="s">
        <v>28</v>
      </c>
      <c r="E11" s="13">
        <f t="shared" ref="E11:H12" si="1">E12</f>
        <v>462554</v>
      </c>
      <c r="F11" s="13">
        <f t="shared" si="1"/>
        <v>6000</v>
      </c>
      <c r="G11" s="13">
        <f t="shared" si="1"/>
        <v>0</v>
      </c>
      <c r="H11" s="271">
        <f t="shared" si="1"/>
        <v>468554</v>
      </c>
    </row>
    <row r="12" spans="1:8" ht="15.75">
      <c r="A12" s="44"/>
      <c r="B12" s="45">
        <v>75011</v>
      </c>
      <c r="C12" s="46"/>
      <c r="D12" s="47" t="s">
        <v>29</v>
      </c>
      <c r="E12" s="73">
        <f t="shared" si="1"/>
        <v>462554</v>
      </c>
      <c r="F12" s="73">
        <f t="shared" si="1"/>
        <v>6000</v>
      </c>
      <c r="G12" s="73">
        <f t="shared" si="1"/>
        <v>0</v>
      </c>
      <c r="H12" s="262">
        <f t="shared" si="1"/>
        <v>468554</v>
      </c>
    </row>
    <row r="13" spans="1:8" ht="63">
      <c r="A13" s="44"/>
      <c r="B13" s="45"/>
      <c r="C13" s="46">
        <v>2010</v>
      </c>
      <c r="D13" s="47" t="s">
        <v>9</v>
      </c>
      <c r="E13" s="73">
        <f>300841+91065+22396+5746+42506</f>
        <v>462554</v>
      </c>
      <c r="F13" s="73">
        <v>6000</v>
      </c>
      <c r="G13" s="73"/>
      <c r="H13" s="262">
        <f>E13+F13-G13</f>
        <v>468554</v>
      </c>
    </row>
    <row r="14" spans="1:8" ht="31.5">
      <c r="A14" s="44">
        <v>751</v>
      </c>
      <c r="B14" s="45"/>
      <c r="C14" s="46"/>
      <c r="D14" s="47" t="s">
        <v>32</v>
      </c>
      <c r="E14" s="73">
        <f>E15+E17+E19</f>
        <v>446581</v>
      </c>
      <c r="F14" s="73">
        <f>F15+F17+F19</f>
        <v>0</v>
      </c>
      <c r="G14" s="73">
        <f>G15+G17+G19</f>
        <v>0</v>
      </c>
      <c r="H14" s="48">
        <f>H15+H17+H19</f>
        <v>446581</v>
      </c>
    </row>
    <row r="15" spans="1:8" ht="31.5">
      <c r="A15" s="44"/>
      <c r="B15" s="45">
        <v>75101</v>
      </c>
      <c r="C15" s="46"/>
      <c r="D15" s="47" t="s">
        <v>33</v>
      </c>
      <c r="E15" s="73">
        <f>E16</f>
        <v>5849</v>
      </c>
      <c r="F15" s="73">
        <f>F16</f>
        <v>0</v>
      </c>
      <c r="G15" s="73">
        <f>G16</f>
        <v>0</v>
      </c>
      <c r="H15" s="262">
        <f>H16</f>
        <v>5849</v>
      </c>
    </row>
    <row r="16" spans="1:8" ht="63">
      <c r="A16" s="44"/>
      <c r="B16" s="45"/>
      <c r="C16" s="46">
        <v>2010</v>
      </c>
      <c r="D16" s="47" t="s">
        <v>9</v>
      </c>
      <c r="E16" s="73">
        <v>5849</v>
      </c>
      <c r="F16" s="73"/>
      <c r="G16" s="73"/>
      <c r="H16" s="262">
        <v>5849</v>
      </c>
    </row>
    <row r="17" spans="1:8" ht="47.25" customHeight="1">
      <c r="A17" s="68"/>
      <c r="B17" s="69">
        <v>75109</v>
      </c>
      <c r="C17" s="70"/>
      <c r="D17" s="71" t="s">
        <v>344</v>
      </c>
      <c r="E17" s="72">
        <f>E18</f>
        <v>316703</v>
      </c>
      <c r="F17" s="72">
        <f t="shared" ref="F17:H19" si="2">F18</f>
        <v>0</v>
      </c>
      <c r="G17" s="263">
        <f t="shared" si="2"/>
        <v>0</v>
      </c>
      <c r="H17" s="270">
        <f t="shared" si="2"/>
        <v>316703</v>
      </c>
    </row>
    <row r="18" spans="1:8" ht="63">
      <c r="A18" s="9"/>
      <c r="B18" s="10"/>
      <c r="C18" s="11">
        <v>2010</v>
      </c>
      <c r="D18" s="12" t="s">
        <v>9</v>
      </c>
      <c r="E18" s="13">
        <f>92251+2860+121000+100792+2660-2860</f>
        <v>316703</v>
      </c>
      <c r="F18" s="13"/>
      <c r="G18" s="261"/>
      <c r="H18" s="270">
        <f>E18+F18-G18</f>
        <v>316703</v>
      </c>
    </row>
    <row r="19" spans="1:8" ht="15.75">
      <c r="A19" s="68"/>
      <c r="B19" s="69">
        <v>75113</v>
      </c>
      <c r="C19" s="70"/>
      <c r="D19" s="71" t="s">
        <v>393</v>
      </c>
      <c r="E19" s="72">
        <f>E20</f>
        <v>124029</v>
      </c>
      <c r="F19" s="72">
        <f t="shared" si="2"/>
        <v>0</v>
      </c>
      <c r="G19" s="263">
        <f t="shared" si="2"/>
        <v>0</v>
      </c>
      <c r="H19" s="270">
        <f t="shared" si="2"/>
        <v>124029</v>
      </c>
    </row>
    <row r="20" spans="1:8" ht="63">
      <c r="A20" s="9"/>
      <c r="B20" s="10"/>
      <c r="C20" s="11">
        <v>2010</v>
      </c>
      <c r="D20" s="12" t="s">
        <v>9</v>
      </c>
      <c r="E20" s="13">
        <f>46829+77200</f>
        <v>124029</v>
      </c>
      <c r="F20" s="13"/>
      <c r="G20" s="261"/>
      <c r="H20" s="270">
        <f>E20+F20-G20</f>
        <v>124029</v>
      </c>
    </row>
    <row r="21" spans="1:8" ht="15.75">
      <c r="A21" s="9">
        <v>801</v>
      </c>
      <c r="B21" s="10"/>
      <c r="C21" s="11"/>
      <c r="D21" s="12" t="s">
        <v>58</v>
      </c>
      <c r="E21" s="161">
        <f>SUM(E22)</f>
        <v>578675.94999999995</v>
      </c>
      <c r="F21" s="161">
        <f>SUM(F22)</f>
        <v>0</v>
      </c>
      <c r="G21" s="161">
        <f>SUM(G22)</f>
        <v>0</v>
      </c>
      <c r="H21" s="402">
        <f>SUM(H22)</f>
        <v>578675.94999999995</v>
      </c>
    </row>
    <row r="22" spans="1:8" ht="47.25">
      <c r="A22" s="9"/>
      <c r="B22" s="10">
        <v>80153</v>
      </c>
      <c r="C22" s="11"/>
      <c r="D22" s="12" t="s">
        <v>329</v>
      </c>
      <c r="E22" s="13">
        <f>E23</f>
        <v>578675.94999999995</v>
      </c>
      <c r="F22" s="13">
        <f>F23</f>
        <v>0</v>
      </c>
      <c r="G22" s="13">
        <f>G23</f>
        <v>0</v>
      </c>
      <c r="H22" s="402">
        <f>H23</f>
        <v>578675.94999999995</v>
      </c>
    </row>
    <row r="23" spans="1:8" ht="63">
      <c r="A23" s="9"/>
      <c r="B23" s="10"/>
      <c r="C23" s="11">
        <v>2010</v>
      </c>
      <c r="D23" s="12" t="s">
        <v>9</v>
      </c>
      <c r="E23" s="13">
        <f>522189.79+72225.53-15739.37</f>
        <v>578675.94999999995</v>
      </c>
      <c r="F23" s="13"/>
      <c r="G23" s="261"/>
      <c r="H23" s="270">
        <f>E23+F23-G23</f>
        <v>578675.94999999995</v>
      </c>
    </row>
    <row r="24" spans="1:8" ht="15.75">
      <c r="A24" s="9">
        <v>852</v>
      </c>
      <c r="B24" s="10"/>
      <c r="C24" s="11"/>
      <c r="D24" s="12" t="s">
        <v>67</v>
      </c>
      <c r="E24" s="13">
        <f>E25+E27</f>
        <v>221642.91999999998</v>
      </c>
      <c r="F24" s="13">
        <f t="shared" ref="F24:G24" si="3">F25+F27</f>
        <v>120806.09</v>
      </c>
      <c r="G24" s="13">
        <f t="shared" si="3"/>
        <v>0</v>
      </c>
      <c r="H24" s="271">
        <f>H25+H27</f>
        <v>342449.01</v>
      </c>
    </row>
    <row r="25" spans="1:8" ht="15.75">
      <c r="A25" s="9"/>
      <c r="B25" s="10">
        <v>85215</v>
      </c>
      <c r="C25" s="11"/>
      <c r="D25" s="12" t="s">
        <v>71</v>
      </c>
      <c r="E25" s="13">
        <f>SUM(E26)</f>
        <v>120201</v>
      </c>
      <c r="F25" s="13">
        <f t="shared" ref="F25:G25" si="4">SUM(F26)</f>
        <v>120806.09</v>
      </c>
      <c r="G25" s="13">
        <f t="shared" si="4"/>
        <v>0</v>
      </c>
      <c r="H25" s="271">
        <f>H26</f>
        <v>241007.09</v>
      </c>
    </row>
    <row r="26" spans="1:8" ht="63">
      <c r="A26" s="9"/>
      <c r="B26" s="10"/>
      <c r="C26" s="11">
        <v>2010</v>
      </c>
      <c r="D26" s="12" t="s">
        <v>9</v>
      </c>
      <c r="E26" s="13">
        <f>120201</f>
        <v>120201</v>
      </c>
      <c r="F26" s="13">
        <v>120806.09</v>
      </c>
      <c r="G26" s="13"/>
      <c r="H26" s="271">
        <f>E26+F26-G26</f>
        <v>241007.09</v>
      </c>
    </row>
    <row r="27" spans="1:8" ht="15.75">
      <c r="A27" s="44"/>
      <c r="B27" s="10">
        <v>85295</v>
      </c>
      <c r="C27" s="11"/>
      <c r="D27" s="12" t="s">
        <v>8</v>
      </c>
      <c r="E27" s="13">
        <f>E28</f>
        <v>101441.92</v>
      </c>
      <c r="F27" s="13">
        <f t="shared" ref="F27:H27" si="5">F28</f>
        <v>0</v>
      </c>
      <c r="G27" s="13">
        <f t="shared" si="5"/>
        <v>0</v>
      </c>
      <c r="H27" s="271">
        <f t="shared" si="5"/>
        <v>101441.92</v>
      </c>
    </row>
    <row r="28" spans="1:8" ht="63">
      <c r="A28" s="44"/>
      <c r="B28" s="10"/>
      <c r="C28" s="11">
        <v>2010</v>
      </c>
      <c r="D28" s="12" t="s">
        <v>9</v>
      </c>
      <c r="E28" s="161">
        <f>4392+65753.69+31296.23</f>
        <v>101441.92</v>
      </c>
      <c r="F28" s="161"/>
      <c r="G28" s="161"/>
      <c r="H28" s="272">
        <f>E28+F28-G28</f>
        <v>101441.92</v>
      </c>
    </row>
    <row r="29" spans="1:8" ht="15.75">
      <c r="A29" s="44">
        <v>855</v>
      </c>
      <c r="B29" s="45"/>
      <c r="C29" s="46"/>
      <c r="D29" s="47" t="s">
        <v>80</v>
      </c>
      <c r="E29" s="73">
        <f>+E30+E34+E32</f>
        <v>9563566</v>
      </c>
      <c r="F29" s="73">
        <f>+F30+F34+F32</f>
        <v>719295</v>
      </c>
      <c r="G29" s="73">
        <f>+G30+G34+G32</f>
        <v>0</v>
      </c>
      <c r="H29" s="262">
        <f>+H30+H34+H32</f>
        <v>10282861</v>
      </c>
    </row>
    <row r="30" spans="1:8" ht="47.25">
      <c r="A30" s="44"/>
      <c r="B30" s="45">
        <v>85502</v>
      </c>
      <c r="C30" s="46"/>
      <c r="D30" s="47" t="s">
        <v>188</v>
      </c>
      <c r="E30" s="73">
        <f>E31</f>
        <v>9469565</v>
      </c>
      <c r="F30" s="73">
        <f>F31</f>
        <v>716995</v>
      </c>
      <c r="G30" s="73">
        <f>G31</f>
        <v>0</v>
      </c>
      <c r="H30" s="262">
        <f>H31</f>
        <v>10186560</v>
      </c>
    </row>
    <row r="31" spans="1:8" ht="63">
      <c r="A31" s="44"/>
      <c r="B31" s="45"/>
      <c r="C31" s="46">
        <v>2010</v>
      </c>
      <c r="D31" s="47" t="s">
        <v>9</v>
      </c>
      <c r="E31" s="73">
        <f>5516142+2292003+814335+847085</f>
        <v>9469565</v>
      </c>
      <c r="F31" s="73">
        <v>716995</v>
      </c>
      <c r="G31" s="73"/>
      <c r="H31" s="262">
        <f>E31+F31-G31</f>
        <v>10186560</v>
      </c>
    </row>
    <row r="32" spans="1:8" ht="15.75">
      <c r="A32" s="68"/>
      <c r="B32" s="10">
        <v>85503</v>
      </c>
      <c r="C32" s="11"/>
      <c r="D32" s="12" t="s">
        <v>340</v>
      </c>
      <c r="E32" s="13">
        <f>E33</f>
        <v>1700</v>
      </c>
      <c r="F32" s="13">
        <f>F33</f>
        <v>300</v>
      </c>
      <c r="G32" s="13">
        <f>G33</f>
        <v>0</v>
      </c>
      <c r="H32" s="271">
        <f>H33</f>
        <v>2000</v>
      </c>
    </row>
    <row r="33" spans="1:8" ht="63">
      <c r="A33" s="68"/>
      <c r="B33" s="10"/>
      <c r="C33" s="11">
        <v>2010</v>
      </c>
      <c r="D33" s="12" t="s">
        <v>9</v>
      </c>
      <c r="E33" s="161">
        <f>898+802</f>
        <v>1700</v>
      </c>
      <c r="F33" s="161">
        <v>300</v>
      </c>
      <c r="G33" s="161"/>
      <c r="H33" s="272">
        <f>E33+F33-G33</f>
        <v>2000</v>
      </c>
    </row>
    <row r="34" spans="1:8" ht="47.25">
      <c r="A34" s="44"/>
      <c r="B34" s="45">
        <v>85513</v>
      </c>
      <c r="C34" s="46"/>
      <c r="D34" s="47" t="s">
        <v>82</v>
      </c>
      <c r="E34" s="73">
        <f>E35</f>
        <v>92301</v>
      </c>
      <c r="F34" s="73">
        <f>F35</f>
        <v>2000</v>
      </c>
      <c r="G34" s="73">
        <f>G35</f>
        <v>0</v>
      </c>
      <c r="H34" s="262">
        <f>H35</f>
        <v>94301</v>
      </c>
    </row>
    <row r="35" spans="1:8" ht="63">
      <c r="A35" s="296"/>
      <c r="B35" s="275"/>
      <c r="C35" s="276">
        <v>2010</v>
      </c>
      <c r="D35" s="277" t="s">
        <v>9</v>
      </c>
      <c r="E35" s="278">
        <f>65701+2500+2500+9000+12600</f>
        <v>92301</v>
      </c>
      <c r="F35" s="278">
        <v>2000</v>
      </c>
      <c r="G35" s="278"/>
      <c r="H35" s="279">
        <f>E35+F35</f>
        <v>94301</v>
      </c>
    </row>
    <row r="36" spans="1:8" ht="18.75">
      <c r="A36" s="280"/>
      <c r="B36" s="281"/>
      <c r="C36" s="282"/>
      <c r="D36" s="283" t="s">
        <v>91</v>
      </c>
      <c r="E36" s="284">
        <f>+E8+E29+E14+E24+E11+E21</f>
        <v>11592611.109999999</v>
      </c>
      <c r="F36" s="284">
        <f>+F8+F29+F14+F24+F11+F21</f>
        <v>846101.09</v>
      </c>
      <c r="G36" s="284">
        <f>+G8+G29+G14+G24+G11+G21</f>
        <v>0</v>
      </c>
      <c r="H36" s="284">
        <f>+H8+H29+H14+H24+H11+H21</f>
        <v>12438712.199999999</v>
      </c>
    </row>
    <row r="37" spans="1:8" ht="18.75">
      <c r="A37" s="286"/>
      <c r="B37" s="287"/>
      <c r="C37" s="288"/>
      <c r="D37" s="289"/>
      <c r="E37" s="290"/>
      <c r="F37" s="290"/>
      <c r="G37" s="290"/>
      <c r="H37" s="290"/>
    </row>
    <row r="38" spans="1:8" ht="18.75">
      <c r="A38" s="286"/>
      <c r="B38" s="287"/>
      <c r="C38" s="288"/>
      <c r="D38" s="289"/>
      <c r="E38" s="290"/>
      <c r="F38" s="290"/>
      <c r="G38" s="290"/>
      <c r="H38" s="290"/>
    </row>
    <row r="39" spans="1:8" ht="18.75">
      <c r="A39" s="286"/>
      <c r="B39" s="287"/>
      <c r="C39" s="288"/>
      <c r="D39" s="289"/>
      <c r="E39" s="290"/>
      <c r="F39" s="290"/>
      <c r="G39" s="290"/>
      <c r="H39" s="290"/>
    </row>
    <row r="40" spans="1:8" ht="18.75">
      <c r="A40" s="286"/>
      <c r="B40" s="287"/>
      <c r="C40" s="288"/>
      <c r="D40" s="289"/>
      <c r="E40" s="290"/>
      <c r="F40" s="290"/>
      <c r="G40" s="290"/>
      <c r="H40" s="290"/>
    </row>
    <row r="41" spans="1:8" ht="8.25" customHeight="1">
      <c r="A41" s="32"/>
      <c r="B41" s="32"/>
      <c r="C41" s="32"/>
      <c r="D41" s="32"/>
      <c r="E41" s="32"/>
      <c r="H41" s="290"/>
    </row>
    <row r="42" spans="1:8" ht="12" customHeight="1">
      <c r="A42" s="32"/>
      <c r="B42" s="32"/>
      <c r="C42" s="32"/>
      <c r="D42" s="32"/>
      <c r="E42" s="32"/>
      <c r="H42" s="290"/>
    </row>
    <row r="43" spans="1:8" ht="18.75">
      <c r="A43" s="32"/>
      <c r="B43" s="33" t="s">
        <v>184</v>
      </c>
      <c r="C43" s="502" t="s">
        <v>190</v>
      </c>
      <c r="D43" s="503"/>
      <c r="E43" s="503"/>
      <c r="F43" s="501"/>
    </row>
    <row r="44" spans="1:8" ht="6.75" customHeight="1">
      <c r="A44" s="32"/>
      <c r="B44" s="32"/>
      <c r="C44" s="32"/>
      <c r="D44" s="32"/>
      <c r="E44" s="32"/>
      <c r="H44" s="269"/>
    </row>
    <row r="45" spans="1:8" ht="22.5" customHeight="1">
      <c r="A45" s="39">
        <v>801</v>
      </c>
      <c r="B45" s="40"/>
      <c r="C45" s="41"/>
      <c r="D45" s="42" t="s">
        <v>58</v>
      </c>
      <c r="E45" s="43">
        <f>+E48+E50+E46</f>
        <v>905000</v>
      </c>
      <c r="F45" s="43">
        <f>+F48+F50+F46</f>
        <v>0</v>
      </c>
      <c r="G45" s="43">
        <f>+G48+G50+G46</f>
        <v>0</v>
      </c>
      <c r="H45" s="43">
        <f>+H48+H50+H46</f>
        <v>905000</v>
      </c>
    </row>
    <row r="46" spans="1:8" ht="22.5" customHeight="1">
      <c r="A46" s="44"/>
      <c r="B46" s="45">
        <v>80103</v>
      </c>
      <c r="C46" s="46"/>
      <c r="D46" s="47" t="s">
        <v>60</v>
      </c>
      <c r="E46" s="48">
        <f>E47</f>
        <v>30000</v>
      </c>
      <c r="F46" s="48">
        <f>F47</f>
        <v>0</v>
      </c>
      <c r="G46" s="48">
        <f>G47</f>
        <v>0</v>
      </c>
      <c r="H46" s="48">
        <f>H47</f>
        <v>30000</v>
      </c>
    </row>
    <row r="47" spans="1:8" ht="47.25">
      <c r="A47" s="44"/>
      <c r="B47" s="45"/>
      <c r="C47" s="46">
        <v>2310</v>
      </c>
      <c r="D47" s="47" t="s">
        <v>61</v>
      </c>
      <c r="E47" s="48">
        <v>30000</v>
      </c>
      <c r="F47" s="48"/>
      <c r="G47" s="48"/>
      <c r="H47" s="48">
        <f>E47+F47-G47</f>
        <v>30000</v>
      </c>
    </row>
    <row r="48" spans="1:8" ht="15.75">
      <c r="A48" s="44"/>
      <c r="B48" s="45">
        <v>80104</v>
      </c>
      <c r="C48" s="46"/>
      <c r="D48" s="47" t="s">
        <v>62</v>
      </c>
      <c r="E48" s="48">
        <f>E49</f>
        <v>850000</v>
      </c>
      <c r="F48" s="48">
        <f>F49</f>
        <v>0</v>
      </c>
      <c r="G48" s="48">
        <f>G49</f>
        <v>0</v>
      </c>
      <c r="H48" s="48">
        <f>H49</f>
        <v>850000</v>
      </c>
    </row>
    <row r="49" spans="1:8" ht="47.25">
      <c r="A49" s="49"/>
      <c r="B49" s="50"/>
      <c r="C49" s="51">
        <v>2310</v>
      </c>
      <c r="D49" s="54" t="s">
        <v>61</v>
      </c>
      <c r="E49" s="55">
        <v>850000</v>
      </c>
      <c r="F49" s="55"/>
      <c r="G49" s="55"/>
      <c r="H49" s="55">
        <f>E49+F49-G49</f>
        <v>850000</v>
      </c>
    </row>
    <row r="50" spans="1:8" ht="15.75">
      <c r="A50" s="39"/>
      <c r="B50" s="40">
        <v>80106</v>
      </c>
      <c r="C50" s="41"/>
      <c r="D50" s="42" t="s">
        <v>66</v>
      </c>
      <c r="E50" s="43">
        <f>E51</f>
        <v>25000</v>
      </c>
      <c r="F50" s="43">
        <f>F51</f>
        <v>0</v>
      </c>
      <c r="G50" s="43">
        <f>G51</f>
        <v>0</v>
      </c>
      <c r="H50" s="273">
        <f>H51</f>
        <v>25000</v>
      </c>
    </row>
    <row r="51" spans="1:8" ht="47.25">
      <c r="A51" s="44"/>
      <c r="B51" s="45"/>
      <c r="C51" s="46">
        <v>2310</v>
      </c>
      <c r="D51" s="47" t="s">
        <v>61</v>
      </c>
      <c r="E51" s="59">
        <v>25000</v>
      </c>
      <c r="F51" s="262"/>
      <c r="G51" s="48"/>
      <c r="H51" s="274">
        <f>E51+F51-G51</f>
        <v>25000</v>
      </c>
    </row>
    <row r="52" spans="1:8" ht="15.75">
      <c r="A52" s="9">
        <v>900</v>
      </c>
      <c r="B52" s="10"/>
      <c r="C52" s="11"/>
      <c r="D52" s="12" t="s">
        <v>84</v>
      </c>
      <c r="E52" s="271">
        <f>E53</f>
        <v>12000</v>
      </c>
      <c r="F52" s="271">
        <f>F53</f>
        <v>0</v>
      </c>
      <c r="G52" s="271">
        <f>G53</f>
        <v>0</v>
      </c>
      <c r="H52" s="271">
        <f>H53</f>
        <v>12000</v>
      </c>
    </row>
    <row r="53" spans="1:8" ht="15.75">
      <c r="A53" s="9"/>
      <c r="B53" s="10">
        <v>90013</v>
      </c>
      <c r="C53" s="11"/>
      <c r="D53" s="12" t="s">
        <v>170</v>
      </c>
      <c r="E53" s="271">
        <f>SUM(E54)</f>
        <v>12000</v>
      </c>
      <c r="F53" s="271">
        <f>SUM(F54)</f>
        <v>0</v>
      </c>
      <c r="G53" s="271">
        <f>SUM(G54)</f>
        <v>0</v>
      </c>
      <c r="H53" s="271">
        <f>SUM(H54)</f>
        <v>12000</v>
      </c>
    </row>
    <row r="54" spans="1:8" ht="47.25">
      <c r="A54" s="68"/>
      <c r="B54" s="69"/>
      <c r="C54" s="11">
        <v>2310</v>
      </c>
      <c r="D54" s="12" t="s">
        <v>61</v>
      </c>
      <c r="E54" s="270">
        <v>12000</v>
      </c>
      <c r="F54" s="426"/>
      <c r="G54" s="426"/>
      <c r="H54" s="263">
        <f>E54+F54-G54</f>
        <v>12000</v>
      </c>
    </row>
    <row r="55" spans="1:8" ht="15.75">
      <c r="A55" s="44">
        <v>926</v>
      </c>
      <c r="B55" s="45"/>
      <c r="C55" s="46"/>
      <c r="D55" s="47" t="s">
        <v>89</v>
      </c>
      <c r="E55" s="48">
        <f>E56</f>
        <v>20000</v>
      </c>
      <c r="F55" s="48">
        <f>F56</f>
        <v>0</v>
      </c>
      <c r="G55" s="48">
        <f>G56</f>
        <v>0</v>
      </c>
      <c r="H55" s="274">
        <f>H56</f>
        <v>20000</v>
      </c>
    </row>
    <row r="56" spans="1:8" ht="15.75">
      <c r="A56" s="44"/>
      <c r="B56" s="45">
        <v>92695</v>
      </c>
      <c r="C56" s="46"/>
      <c r="D56" s="47" t="s">
        <v>8</v>
      </c>
      <c r="E56" s="48">
        <v>20000</v>
      </c>
      <c r="F56" s="48"/>
      <c r="G56" s="48"/>
      <c r="H56" s="274">
        <v>20000</v>
      </c>
    </row>
    <row r="57" spans="1:8" ht="47.25">
      <c r="A57" s="44"/>
      <c r="B57" s="45"/>
      <c r="C57" s="46">
        <v>2310</v>
      </c>
      <c r="D57" s="47" t="s">
        <v>61</v>
      </c>
      <c r="E57" s="48">
        <v>20000</v>
      </c>
      <c r="F57" s="48"/>
      <c r="G57" s="48"/>
      <c r="H57" s="274">
        <v>20000</v>
      </c>
    </row>
    <row r="58" spans="1:8" ht="18.75">
      <c r="A58" s="49"/>
      <c r="B58" s="50"/>
      <c r="C58" s="51"/>
      <c r="D58" s="52" t="s">
        <v>91</v>
      </c>
      <c r="E58" s="53">
        <f>E45+E55+E52</f>
        <v>937000</v>
      </c>
      <c r="F58" s="53">
        <f>F45+F55+F52</f>
        <v>0</v>
      </c>
      <c r="G58" s="53">
        <f>G45+G55+G52</f>
        <v>0</v>
      </c>
      <c r="H58" s="53">
        <f>H45+H55+H52</f>
        <v>937000</v>
      </c>
    </row>
    <row r="59" spans="1:8">
      <c r="A59" s="32"/>
      <c r="B59" s="32"/>
      <c r="C59" s="32"/>
      <c r="D59" s="32"/>
      <c r="E59" s="32"/>
    </row>
    <row r="60" spans="1:8">
      <c r="A60" s="32"/>
      <c r="B60" s="32"/>
      <c r="C60" s="32"/>
      <c r="D60" s="32"/>
      <c r="E60" s="32"/>
    </row>
    <row r="61" spans="1:8" ht="18.75">
      <c r="A61" s="32"/>
      <c r="B61" s="33" t="s">
        <v>185</v>
      </c>
      <c r="C61" s="509" t="s">
        <v>186</v>
      </c>
      <c r="D61" s="509"/>
      <c r="E61" s="509"/>
      <c r="F61" s="501"/>
    </row>
    <row r="62" spans="1:8">
      <c r="A62" s="32"/>
      <c r="B62" s="32"/>
      <c r="C62" s="32"/>
      <c r="D62" s="32"/>
      <c r="E62" s="32"/>
    </row>
    <row r="63" spans="1:8" ht="15.75">
      <c r="A63" s="39">
        <v>750</v>
      </c>
      <c r="B63" s="40"/>
      <c r="C63" s="41"/>
      <c r="D63" s="42" t="s">
        <v>28</v>
      </c>
      <c r="E63" s="43">
        <f>E64</f>
        <v>1412</v>
      </c>
    </row>
    <row r="64" spans="1:8" ht="15.75">
      <c r="A64" s="44"/>
      <c r="B64" s="45">
        <v>75011</v>
      </c>
      <c r="C64" s="46"/>
      <c r="D64" s="47" t="s">
        <v>29</v>
      </c>
      <c r="E64" s="48">
        <f>E65</f>
        <v>1412</v>
      </c>
    </row>
    <row r="65" spans="1:8" ht="15.75">
      <c r="A65" s="44"/>
      <c r="B65" s="45"/>
      <c r="C65" s="46">
        <v>970</v>
      </c>
      <c r="D65" s="47" t="s">
        <v>31</v>
      </c>
      <c r="E65" s="48">
        <v>1412</v>
      </c>
    </row>
    <row r="66" spans="1:8" ht="15.75">
      <c r="A66" s="44">
        <v>855</v>
      </c>
      <c r="B66" s="45"/>
      <c r="C66" s="46"/>
      <c r="D66" s="47" t="s">
        <v>80</v>
      </c>
      <c r="E66" s="48">
        <f>E67</f>
        <v>120000</v>
      </c>
    </row>
    <row r="67" spans="1:8" ht="50.25" customHeight="1">
      <c r="A67" s="44"/>
      <c r="B67" s="56">
        <v>85502</v>
      </c>
      <c r="C67" s="57"/>
      <c r="D67" s="58" t="s">
        <v>81</v>
      </c>
      <c r="E67" s="59">
        <f>E68</f>
        <v>120000</v>
      </c>
    </row>
    <row r="68" spans="1:8" ht="15.75">
      <c r="A68" s="44"/>
      <c r="B68" s="45"/>
      <c r="C68" s="46">
        <v>970</v>
      </c>
      <c r="D68" s="47" t="s">
        <v>31</v>
      </c>
      <c r="E68" s="48">
        <v>120000</v>
      </c>
    </row>
    <row r="69" spans="1:8" ht="18.75">
      <c r="A69" s="49"/>
      <c r="B69" s="50"/>
      <c r="C69" s="51"/>
      <c r="D69" s="52" t="s">
        <v>91</v>
      </c>
      <c r="E69" s="53">
        <f>E66+E63</f>
        <v>121412</v>
      </c>
    </row>
    <row r="72" spans="1:8" ht="18.75">
      <c r="A72" s="32"/>
      <c r="B72" s="33" t="s">
        <v>522</v>
      </c>
      <c r="C72" s="502" t="s">
        <v>523</v>
      </c>
      <c r="D72" s="503"/>
      <c r="E72" s="503"/>
      <c r="F72" s="504"/>
      <c r="G72" s="504"/>
      <c r="H72" s="32"/>
    </row>
    <row r="73" spans="1:8">
      <c r="A73" s="32"/>
      <c r="B73" s="32"/>
      <c r="C73" s="32"/>
      <c r="D73" s="32"/>
      <c r="E73" s="32"/>
      <c r="F73" s="32"/>
      <c r="G73" s="32"/>
      <c r="H73" s="32"/>
    </row>
    <row r="74" spans="1:8" ht="15.75">
      <c r="A74" s="39">
        <v>853</v>
      </c>
      <c r="B74" s="40"/>
      <c r="C74" s="41"/>
      <c r="D74" s="42" t="s">
        <v>77</v>
      </c>
      <c r="E74" s="43">
        <f>+E77+E79+E75</f>
        <v>33000</v>
      </c>
      <c r="F74" s="43">
        <f>+F77+F79+F75</f>
        <v>0</v>
      </c>
      <c r="G74" s="43">
        <f>+G77+G79+G75</f>
        <v>0</v>
      </c>
      <c r="H74" s="43">
        <f>+H77+H79+H75</f>
        <v>33000</v>
      </c>
    </row>
    <row r="75" spans="1:8" ht="15.75">
      <c r="A75" s="44"/>
      <c r="B75" s="45">
        <v>85395</v>
      </c>
      <c r="C75" s="46"/>
      <c r="D75" s="47" t="s">
        <v>8</v>
      </c>
      <c r="E75" s="48">
        <f>E76</f>
        <v>33000</v>
      </c>
      <c r="F75" s="48">
        <f>F76</f>
        <v>0</v>
      </c>
      <c r="G75" s="48">
        <f>G76</f>
        <v>0</v>
      </c>
      <c r="H75" s="48">
        <f>H76</f>
        <v>33000</v>
      </c>
    </row>
    <row r="76" spans="1:8" ht="47.25">
      <c r="A76" s="49"/>
      <c r="B76" s="50"/>
      <c r="C76" s="51">
        <v>2020</v>
      </c>
      <c r="D76" s="54" t="s">
        <v>503</v>
      </c>
      <c r="E76" s="55">
        <v>33000</v>
      </c>
      <c r="F76" s="55"/>
      <c r="G76" s="55"/>
      <c r="H76" s="55">
        <f>E76+F76-G76</f>
        <v>33000</v>
      </c>
    </row>
  </sheetData>
  <mergeCells count="5">
    <mergeCell ref="C72:G72"/>
    <mergeCell ref="C5:E5"/>
    <mergeCell ref="C4:E4"/>
    <mergeCell ref="C43:F43"/>
    <mergeCell ref="C61:F61"/>
  </mergeCells>
  <conditionalFormatting sqref="A61:C61">
    <cfRule type="expression" dxfId="313" priority="79" stopIfTrue="1">
      <formula>$C61 = "OGÓŁEM:"</formula>
    </cfRule>
    <cfRule type="expression" dxfId="312" priority="80" stopIfTrue="1">
      <formula>LEN($A61)&gt;1</formula>
    </cfRule>
    <cfRule type="expression" dxfId="311" priority="81" stopIfTrue="1">
      <formula>LEN(#REF!)&gt;1</formula>
    </cfRule>
  </conditionalFormatting>
  <conditionalFormatting sqref="A44:E51 A55:E60 A62:E71 A73:E811">
    <cfRule type="expression" dxfId="310" priority="43" stopIfTrue="1">
      <formula>$D44 = "OGÓŁEM:"</formula>
    </cfRule>
    <cfRule type="expression" dxfId="309" priority="44" stopIfTrue="1">
      <formula>LEN($A44)&gt;1</formula>
    </cfRule>
    <cfRule type="expression" dxfId="308" priority="45" stopIfTrue="1">
      <formula>LEN($B44)&gt;1</formula>
    </cfRule>
  </conditionalFormatting>
  <conditionalFormatting sqref="A8:H33">
    <cfRule type="expression" dxfId="307" priority="4" stopIfTrue="1">
      <formula>$D8 = "OGÓŁEM:"</formula>
    </cfRule>
    <cfRule type="expression" dxfId="306" priority="5" stopIfTrue="1">
      <formula>LEN($A8)&gt;1</formula>
    </cfRule>
    <cfRule type="expression" dxfId="305" priority="6" stopIfTrue="1">
      <formula>LEN($B8)&gt;1</formula>
    </cfRule>
  </conditionalFormatting>
  <conditionalFormatting sqref="A52:H54">
    <cfRule type="expression" dxfId="304" priority="7" stopIfTrue="1">
      <formula>$D52 = "OGÓŁEM:"</formula>
    </cfRule>
    <cfRule type="expression" dxfId="303" priority="8" stopIfTrue="1">
      <formula>LEN($A52)&gt;1</formula>
    </cfRule>
    <cfRule type="expression" dxfId="302" priority="9" stopIfTrue="1">
      <formula>LEN($B52)&gt;1</formula>
    </cfRule>
  </conditionalFormatting>
  <conditionalFormatting sqref="F34:H40 A34:E42 H41:H42">
    <cfRule type="expression" dxfId="301" priority="34" stopIfTrue="1">
      <formula>$D34 = "OGÓŁEM:"</formula>
    </cfRule>
    <cfRule type="expression" dxfId="300" priority="35" stopIfTrue="1">
      <formula>LEN($A34)&gt;1</formula>
    </cfRule>
    <cfRule type="expression" dxfId="299" priority="36" stopIfTrue="1">
      <formula>LEN($B34)&gt;1</formula>
    </cfRule>
  </conditionalFormatting>
  <conditionalFormatting sqref="F45:H51 F55:H58">
    <cfRule type="expression" dxfId="298" priority="40" stopIfTrue="1">
      <formula>$D45 = "OGÓŁEM:"</formula>
    </cfRule>
    <cfRule type="expression" dxfId="297" priority="41" stopIfTrue="1">
      <formula>LEN($A45)&gt;1</formula>
    </cfRule>
    <cfRule type="expression" dxfId="296" priority="42" stopIfTrue="1">
      <formula>LEN($B45)&gt;1</formula>
    </cfRule>
  </conditionalFormatting>
  <conditionalFormatting sqref="F74:H76">
    <cfRule type="expression" dxfId="295" priority="1" stopIfTrue="1">
      <formula>$D74 = "OGÓŁEM:"</formula>
    </cfRule>
    <cfRule type="expression" dxfId="294" priority="2" stopIfTrue="1">
      <formula>LEN($A74)&gt;1</formula>
    </cfRule>
    <cfRule type="expression" dxfId="293" priority="3" stopIfTrue="1">
      <formula>LEN($B74)&gt;1</formula>
    </cfRule>
  </conditionalFormatting>
  <pageMargins left="0.11811023622047245" right="0.11811023622047245" top="0.74803149606299213" bottom="0.55118110236220474" header="0.31496062992125984" footer="0.31496062992125984"/>
  <pageSetup paperSize="9" scale="70" orientation="portrait" r:id="rId1"/>
  <headerFooter>
    <oddHeader xml:space="preserve">&amp;RZałącznik Nr 1a 
do Uchwały Nr XII/..../2024 
Rady Gminy Komorniki z dnia 28 listopada 2024r.    
w sprawie uchwały budżetowej na 2024r.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A97A-A0F6-4CB5-89DC-A7B4C9F9C852}">
  <dimension ref="A1:H50"/>
  <sheetViews>
    <sheetView topLeftCell="A31" workbookViewId="0">
      <selection activeCell="F49" sqref="F49:F50"/>
    </sheetView>
  </sheetViews>
  <sheetFormatPr defaultRowHeight="15"/>
  <cols>
    <col min="1" max="1" width="5.7109375" style="31" customWidth="1"/>
    <col min="2" max="2" width="7.28515625" style="31" customWidth="1"/>
    <col min="3" max="3" width="7.85546875" style="31" customWidth="1"/>
    <col min="4" max="4" width="70.42578125" style="31" customWidth="1"/>
    <col min="5" max="5" width="17.85546875" style="31" customWidth="1"/>
    <col min="6" max="6" width="16.42578125" style="31" customWidth="1"/>
    <col min="7" max="7" width="17.42578125" style="31" customWidth="1"/>
    <col min="8" max="8" width="17.28515625" style="31" customWidth="1"/>
    <col min="9" max="16384" width="9.140625" style="31"/>
  </cols>
  <sheetData>
    <row r="1" spans="1:8" ht="23.25">
      <c r="A1" s="510" t="s">
        <v>203</v>
      </c>
      <c r="B1" s="510"/>
      <c r="C1" s="510"/>
      <c r="D1" s="510"/>
      <c r="E1" s="510"/>
      <c r="F1" s="501"/>
      <c r="G1" s="501"/>
      <c r="H1" s="501"/>
    </row>
    <row r="3" spans="1:8" ht="56.25" customHeight="1">
      <c r="A3" s="34" t="s">
        <v>0</v>
      </c>
      <c r="B3" s="35" t="s">
        <v>1</v>
      </c>
      <c r="C3" s="36" t="s">
        <v>2</v>
      </c>
      <c r="D3" s="36" t="s">
        <v>3</v>
      </c>
      <c r="E3" s="36" t="s">
        <v>4</v>
      </c>
      <c r="F3" s="211" t="s">
        <v>312</v>
      </c>
      <c r="G3" s="211" t="s">
        <v>313</v>
      </c>
      <c r="H3" s="211" t="s">
        <v>314</v>
      </c>
    </row>
    <row r="4" spans="1:8">
      <c r="A4" s="37">
        <v>1</v>
      </c>
      <c r="B4" s="38">
        <v>2</v>
      </c>
      <c r="C4" s="38">
        <v>3</v>
      </c>
      <c r="D4" s="38">
        <v>4</v>
      </c>
      <c r="E4" s="38">
        <v>5</v>
      </c>
      <c r="F4" s="212">
        <v>6</v>
      </c>
      <c r="G4" s="212">
        <v>7</v>
      </c>
      <c r="H4" s="212">
        <v>8</v>
      </c>
    </row>
    <row r="5" spans="1:8" ht="15.75" hidden="1" customHeight="1">
      <c r="A5" s="60"/>
      <c r="B5" s="61"/>
      <c r="C5" s="61"/>
      <c r="D5" s="61"/>
      <c r="E5" s="61"/>
    </row>
    <row r="6" spans="1:8" ht="15.75">
      <c r="A6" s="44">
        <v>600</v>
      </c>
      <c r="B6" s="45"/>
      <c r="C6" s="46"/>
      <c r="D6" s="47" t="s">
        <v>12</v>
      </c>
      <c r="E6" s="73">
        <f>+E7+E9+E12</f>
        <v>5631245.0199999996</v>
      </c>
      <c r="F6" s="73">
        <f>+F7+F9+F12</f>
        <v>205000</v>
      </c>
      <c r="G6" s="73">
        <f>+G7+G9+G12</f>
        <v>0</v>
      </c>
      <c r="H6" s="73">
        <f>+H7+H9+H12</f>
        <v>5836245.0199999996</v>
      </c>
    </row>
    <row r="7" spans="1:8" ht="15.75">
      <c r="A7" s="9"/>
      <c r="B7" s="10">
        <v>60014</v>
      </c>
      <c r="C7" s="11"/>
      <c r="D7" s="12" t="s">
        <v>15</v>
      </c>
      <c r="E7" s="13">
        <f>E8</f>
        <v>200000</v>
      </c>
      <c r="F7" s="13">
        <f>F8</f>
        <v>0</v>
      </c>
      <c r="G7" s="13">
        <f>G8</f>
        <v>0</v>
      </c>
      <c r="H7" s="13">
        <f>H8</f>
        <v>200000</v>
      </c>
    </row>
    <row r="8" spans="1:8" ht="45.75" customHeight="1">
      <c r="A8" s="68"/>
      <c r="B8" s="69"/>
      <c r="C8" s="11">
        <v>6300</v>
      </c>
      <c r="D8" s="12" t="s">
        <v>17</v>
      </c>
      <c r="E8" s="72">
        <v>200000</v>
      </c>
      <c r="F8" s="72"/>
      <c r="G8" s="72"/>
      <c r="H8" s="72">
        <f>E8+F8-G8</f>
        <v>200000</v>
      </c>
    </row>
    <row r="9" spans="1:8" ht="15.75">
      <c r="A9" s="44"/>
      <c r="B9" s="45">
        <v>60016</v>
      </c>
      <c r="C9" s="46"/>
      <c r="D9" s="47" t="s">
        <v>16</v>
      </c>
      <c r="E9" s="73">
        <f>SUM(E10:E11)</f>
        <v>5179926.0199999996</v>
      </c>
      <c r="F9" s="73">
        <f>SUM(F10:F11)</f>
        <v>205000</v>
      </c>
      <c r="G9" s="73">
        <f>SUM(G10:G11)</f>
        <v>0</v>
      </c>
      <c r="H9" s="73">
        <f>SUM(H10:H11)</f>
        <v>5384926.0199999996</v>
      </c>
    </row>
    <row r="10" spans="1:8" ht="31.5">
      <c r="A10" s="44"/>
      <c r="B10" s="45"/>
      <c r="C10" s="11">
        <v>6290</v>
      </c>
      <c r="D10" s="12" t="s">
        <v>207</v>
      </c>
      <c r="E10" s="73">
        <f>9970973+374279-7006133</f>
        <v>3339119</v>
      </c>
      <c r="F10" s="73">
        <v>205000</v>
      </c>
      <c r="G10" s="73"/>
      <c r="H10" s="73">
        <f>E10+F10-G10</f>
        <v>3544119</v>
      </c>
    </row>
    <row r="11" spans="1:8" ht="31.5">
      <c r="A11" s="44"/>
      <c r="B11" s="45"/>
      <c r="C11" s="46">
        <v>6370</v>
      </c>
      <c r="D11" s="47" t="s">
        <v>187</v>
      </c>
      <c r="E11" s="73">
        <f>3000000-1159192.98</f>
        <v>1840807.02</v>
      </c>
      <c r="F11" s="73"/>
      <c r="G11" s="73"/>
      <c r="H11" s="73">
        <f>E11+F11-G11</f>
        <v>1840807.02</v>
      </c>
    </row>
    <row r="12" spans="1:8" ht="15.75">
      <c r="A12" s="68"/>
      <c r="B12" s="69">
        <v>60095</v>
      </c>
      <c r="C12" s="70"/>
      <c r="D12" s="71" t="s">
        <v>8</v>
      </c>
      <c r="E12" s="72">
        <f>SUM(E13)</f>
        <v>251319</v>
      </c>
      <c r="F12" s="72">
        <f>SUM(F13)</f>
        <v>0</v>
      </c>
      <c r="G12" s="72">
        <f>SUM(G13)</f>
        <v>0</v>
      </c>
      <c r="H12" s="72">
        <f>SUM(H13)</f>
        <v>251319</v>
      </c>
    </row>
    <row r="13" spans="1:8" ht="60.75" customHeight="1">
      <c r="A13" s="68"/>
      <c r="B13" s="69"/>
      <c r="C13" s="70">
        <v>6207</v>
      </c>
      <c r="D13" s="71" t="s">
        <v>392</v>
      </c>
      <c r="E13" s="72">
        <v>251319</v>
      </c>
      <c r="F13" s="391"/>
      <c r="G13" s="73"/>
      <c r="H13" s="73">
        <f>E13+F13-G13</f>
        <v>251319</v>
      </c>
    </row>
    <row r="14" spans="1:8" ht="15.75">
      <c r="A14" s="44">
        <v>700</v>
      </c>
      <c r="B14" s="45"/>
      <c r="C14" s="46"/>
      <c r="D14" s="47" t="s">
        <v>18</v>
      </c>
      <c r="E14" s="73">
        <f>E15</f>
        <v>587000</v>
      </c>
      <c r="F14" s="73">
        <f>F15</f>
        <v>0</v>
      </c>
      <c r="G14" s="73">
        <f>G15</f>
        <v>205000</v>
      </c>
      <c r="H14" s="73">
        <f>H15</f>
        <v>382000</v>
      </c>
    </row>
    <row r="15" spans="1:8" ht="15.75">
      <c r="A15" s="44"/>
      <c r="B15" s="45">
        <v>70005</v>
      </c>
      <c r="C15" s="46"/>
      <c r="D15" s="47" t="s">
        <v>21</v>
      </c>
      <c r="E15" s="73">
        <f>SUM(E16:E17)</f>
        <v>587000</v>
      </c>
      <c r="F15" s="73">
        <f>SUM(F16:F17)</f>
        <v>0</v>
      </c>
      <c r="G15" s="73">
        <f>SUM(G16:G17)</f>
        <v>205000</v>
      </c>
      <c r="H15" s="73">
        <f>SUM(H16:H17)</f>
        <v>382000</v>
      </c>
    </row>
    <row r="16" spans="1:8" ht="30" customHeight="1">
      <c r="A16" s="44"/>
      <c r="B16" s="45"/>
      <c r="C16" s="46">
        <v>760</v>
      </c>
      <c r="D16" s="47" t="s">
        <v>23</v>
      </c>
      <c r="E16" s="73">
        <v>2000</v>
      </c>
      <c r="F16" s="73"/>
      <c r="G16" s="73"/>
      <c r="H16" s="73">
        <f>E16+F16-G16</f>
        <v>2000</v>
      </c>
    </row>
    <row r="17" spans="1:8" ht="29.25" customHeight="1">
      <c r="A17" s="44"/>
      <c r="B17" s="45"/>
      <c r="C17" s="11">
        <v>770</v>
      </c>
      <c r="D17" s="12" t="s">
        <v>449</v>
      </c>
      <c r="E17" s="73">
        <f>270000+315000</f>
        <v>585000</v>
      </c>
      <c r="F17" s="73"/>
      <c r="G17" s="73">
        <v>205000</v>
      </c>
      <c r="H17" s="73">
        <f>E17+F17-G17</f>
        <v>380000</v>
      </c>
    </row>
    <row r="18" spans="1:8" ht="15.75">
      <c r="A18" s="44">
        <v>750</v>
      </c>
      <c r="B18" s="45"/>
      <c r="C18" s="46"/>
      <c r="D18" s="47" t="s">
        <v>28</v>
      </c>
      <c r="E18" s="73">
        <f>E19</f>
        <v>1057825</v>
      </c>
      <c r="F18" s="73">
        <f>F19</f>
        <v>0</v>
      </c>
      <c r="G18" s="73">
        <f>G19</f>
        <v>323693</v>
      </c>
      <c r="H18" s="73">
        <f>H19</f>
        <v>734132</v>
      </c>
    </row>
    <row r="19" spans="1:8" ht="15.75">
      <c r="A19" s="44"/>
      <c r="B19" s="45">
        <v>75095</v>
      </c>
      <c r="C19" s="46"/>
      <c r="D19" s="47" t="s">
        <v>8</v>
      </c>
      <c r="E19" s="73">
        <f>SUM(E20:E22)</f>
        <v>1057825</v>
      </c>
      <c r="F19" s="73">
        <f>SUM(F20:F22)</f>
        <v>0</v>
      </c>
      <c r="G19" s="73">
        <f>SUM(G20:G22)</f>
        <v>323693</v>
      </c>
      <c r="H19" s="73">
        <f>SUM(H20:H22)</f>
        <v>734132</v>
      </c>
    </row>
    <row r="20" spans="1:8" ht="61.5" customHeight="1">
      <c r="A20" s="44"/>
      <c r="B20" s="45"/>
      <c r="C20" s="46">
        <v>6207</v>
      </c>
      <c r="D20" s="12" t="s">
        <v>392</v>
      </c>
      <c r="E20" s="73">
        <v>756500</v>
      </c>
      <c r="F20" s="73"/>
      <c r="G20" s="73">
        <f>529550-271307</f>
        <v>258243</v>
      </c>
      <c r="H20" s="73">
        <f>E20+F20-G20</f>
        <v>498257</v>
      </c>
    </row>
    <row r="21" spans="1:8" ht="62.25" customHeight="1">
      <c r="A21" s="44"/>
      <c r="B21" s="45"/>
      <c r="C21" s="46">
        <v>6209</v>
      </c>
      <c r="D21" s="12" t="s">
        <v>392</v>
      </c>
      <c r="E21" s="73">
        <v>93500</v>
      </c>
      <c r="F21" s="73"/>
      <c r="G21" s="73">
        <v>65450</v>
      </c>
      <c r="H21" s="73">
        <f>E21+F21-G21</f>
        <v>28050</v>
      </c>
    </row>
    <row r="22" spans="1:8" ht="63">
      <c r="A22" s="44"/>
      <c r="B22" s="45"/>
      <c r="C22" s="46">
        <v>6257</v>
      </c>
      <c r="D22" s="47" t="s">
        <v>27</v>
      </c>
      <c r="E22" s="73">
        <f>756500+207825-756500</f>
        <v>207825</v>
      </c>
      <c r="F22" s="73"/>
      <c r="G22" s="73"/>
      <c r="H22" s="73">
        <f>E22+F22-G22</f>
        <v>207825</v>
      </c>
    </row>
    <row r="23" spans="1:8" ht="15.75">
      <c r="A23" s="44">
        <v>801</v>
      </c>
      <c r="B23" s="45"/>
      <c r="C23" s="46"/>
      <c r="D23" s="47" t="s">
        <v>58</v>
      </c>
      <c r="E23" s="73">
        <f>E24+E27</f>
        <v>2493596.67</v>
      </c>
      <c r="F23" s="73">
        <f>F24+F27</f>
        <v>0</v>
      </c>
      <c r="G23" s="73">
        <f>G24+G27</f>
        <v>1064580</v>
      </c>
      <c r="H23" s="73">
        <f>H24+H27</f>
        <v>1429016.67</v>
      </c>
    </row>
    <row r="24" spans="1:8" ht="15.75">
      <c r="A24" s="44"/>
      <c r="B24" s="45">
        <v>80101</v>
      </c>
      <c r="C24" s="46"/>
      <c r="D24" s="47" t="s">
        <v>59</v>
      </c>
      <c r="E24" s="73">
        <f>SUM(E25:E26)</f>
        <v>2399196.67</v>
      </c>
      <c r="F24" s="73">
        <f>SUM(F25:F26)</f>
        <v>0</v>
      </c>
      <c r="G24" s="73">
        <f>SUM(G25:G26)</f>
        <v>1064580</v>
      </c>
      <c r="H24" s="73">
        <f>SUM(H25:H26)</f>
        <v>1334616.67</v>
      </c>
    </row>
    <row r="25" spans="1:8" ht="47.25">
      <c r="A25" s="44"/>
      <c r="B25" s="45"/>
      <c r="C25" s="11">
        <v>6090</v>
      </c>
      <c r="D25" s="12" t="s">
        <v>209</v>
      </c>
      <c r="E25" s="73">
        <v>334616.67</v>
      </c>
      <c r="F25" s="73"/>
      <c r="G25" s="73"/>
      <c r="H25" s="73">
        <f>E25+F25-G25</f>
        <v>334616.67</v>
      </c>
    </row>
    <row r="26" spans="1:8" ht="31.5">
      <c r="A26" s="44"/>
      <c r="B26" s="45"/>
      <c r="C26" s="46">
        <v>6370</v>
      </c>
      <c r="D26" s="47" t="s">
        <v>187</v>
      </c>
      <c r="E26" s="73">
        <f>3000000-935420</f>
        <v>2064580</v>
      </c>
      <c r="F26" s="73"/>
      <c r="G26" s="73">
        <v>1064580</v>
      </c>
      <c r="H26" s="73">
        <f>E26+F26-G26</f>
        <v>1000000</v>
      </c>
    </row>
    <row r="27" spans="1:8" ht="15.75">
      <c r="A27" s="68"/>
      <c r="B27" s="69">
        <v>80195</v>
      </c>
      <c r="C27" s="70"/>
      <c r="D27" s="71" t="s">
        <v>8</v>
      </c>
      <c r="E27" s="72">
        <f>SUM(E28)</f>
        <v>94400</v>
      </c>
      <c r="F27" s="72">
        <f>SUM(F28)</f>
        <v>0</v>
      </c>
      <c r="G27" s="72">
        <f>SUM(G28)</f>
        <v>0</v>
      </c>
      <c r="H27" s="72">
        <f>SUM(H28)</f>
        <v>94400</v>
      </c>
    </row>
    <row r="28" spans="1:8" ht="63">
      <c r="A28" s="44"/>
      <c r="B28" s="45"/>
      <c r="C28" s="46">
        <v>6257</v>
      </c>
      <c r="D28" s="47" t="s">
        <v>27</v>
      </c>
      <c r="E28" s="73">
        <v>94400</v>
      </c>
      <c r="F28" s="73"/>
      <c r="G28" s="73"/>
      <c r="H28" s="73">
        <f>E28+F28-G28</f>
        <v>94400</v>
      </c>
    </row>
    <row r="29" spans="1:8" ht="15.75">
      <c r="A29" s="9">
        <v>852</v>
      </c>
      <c r="B29" s="10"/>
      <c r="C29" s="11"/>
      <c r="D29" s="12" t="s">
        <v>67</v>
      </c>
      <c r="E29" s="13">
        <f>E30</f>
        <v>167000</v>
      </c>
      <c r="F29" s="13">
        <f>F30</f>
        <v>0</v>
      </c>
      <c r="G29" s="13">
        <f>G30</f>
        <v>0</v>
      </c>
      <c r="H29" s="13">
        <f>H30</f>
        <v>167000</v>
      </c>
    </row>
    <row r="30" spans="1:8" ht="15.75">
      <c r="A30" s="9"/>
      <c r="B30" s="10">
        <v>85232</v>
      </c>
      <c r="C30" s="11"/>
      <c r="D30" s="12" t="s">
        <v>76</v>
      </c>
      <c r="E30" s="13">
        <f>SUM(E31)</f>
        <v>167000</v>
      </c>
      <c r="F30" s="13">
        <f>SUM(F31)</f>
        <v>0</v>
      </c>
      <c r="G30" s="13">
        <f>SUM(G31)</f>
        <v>0</v>
      </c>
      <c r="H30" s="13">
        <f>SUM(H31)</f>
        <v>167000</v>
      </c>
    </row>
    <row r="31" spans="1:8" ht="63">
      <c r="A31" s="44"/>
      <c r="B31" s="45"/>
      <c r="C31" s="122">
        <v>6257</v>
      </c>
      <c r="D31" s="167" t="s">
        <v>27</v>
      </c>
      <c r="E31" s="73">
        <f>167000</f>
        <v>167000</v>
      </c>
      <c r="F31" s="73"/>
      <c r="G31" s="73"/>
      <c r="H31" s="13">
        <f>E31+F31-G31</f>
        <v>167000</v>
      </c>
    </row>
    <row r="32" spans="1:8" ht="15.75">
      <c r="A32" s="9">
        <v>900</v>
      </c>
      <c r="B32" s="10"/>
      <c r="C32" s="11"/>
      <c r="D32" s="12" t="s">
        <v>84</v>
      </c>
      <c r="E32" s="13">
        <f>E33+E35</f>
        <v>4974383</v>
      </c>
      <c r="F32" s="13">
        <f>F33+F35</f>
        <v>0</v>
      </c>
      <c r="G32" s="13">
        <f>G33+G35</f>
        <v>816112.34</v>
      </c>
      <c r="H32" s="13">
        <f>H33+H35</f>
        <v>4158270.66</v>
      </c>
    </row>
    <row r="33" spans="1:8" ht="15.75">
      <c r="A33" s="9"/>
      <c r="B33" s="10">
        <v>90015</v>
      </c>
      <c r="C33" s="11"/>
      <c r="D33" s="12" t="s">
        <v>172</v>
      </c>
      <c r="E33" s="13">
        <f>E34</f>
        <v>1343680</v>
      </c>
      <c r="F33" s="13">
        <f>F34</f>
        <v>0</v>
      </c>
      <c r="G33" s="13">
        <f>G34</f>
        <v>816112.34</v>
      </c>
      <c r="H33" s="13">
        <f>H34</f>
        <v>527567.66</v>
      </c>
    </row>
    <row r="34" spans="1:8" ht="31.5">
      <c r="A34" s="9"/>
      <c r="B34" s="10"/>
      <c r="C34" s="11">
        <v>6370</v>
      </c>
      <c r="D34" s="12" t="s">
        <v>187</v>
      </c>
      <c r="E34" s="13">
        <v>1343680</v>
      </c>
      <c r="F34" s="13"/>
      <c r="G34" s="13">
        <v>816112.34</v>
      </c>
      <c r="H34" s="13">
        <f>E34+F34-G34</f>
        <v>527567.66</v>
      </c>
    </row>
    <row r="35" spans="1:8" ht="15.75">
      <c r="A35" s="9"/>
      <c r="B35" s="10">
        <v>90095</v>
      </c>
      <c r="C35" s="11"/>
      <c r="D35" s="12" t="s">
        <v>8</v>
      </c>
      <c r="E35" s="13">
        <f>SUM(E36:E37)</f>
        <v>3630703</v>
      </c>
      <c r="F35" s="13">
        <f>SUM(F36:F37)</f>
        <v>0</v>
      </c>
      <c r="G35" s="13">
        <f>SUM(G36:G37)</f>
        <v>0</v>
      </c>
      <c r="H35" s="13">
        <f>SUM(H36:H37)</f>
        <v>3630703</v>
      </c>
    </row>
    <row r="36" spans="1:8" ht="60.75" customHeight="1">
      <c r="A36" s="9"/>
      <c r="B36" s="10"/>
      <c r="C36" s="46">
        <v>6257</v>
      </c>
      <c r="D36" s="47" t="s">
        <v>27</v>
      </c>
      <c r="E36" s="13">
        <v>3530703</v>
      </c>
      <c r="F36" s="13"/>
      <c r="G36" s="13"/>
      <c r="H36" s="13">
        <f>E36+F36-G36</f>
        <v>3530703</v>
      </c>
    </row>
    <row r="37" spans="1:8" ht="45.75" customHeight="1">
      <c r="A37" s="9"/>
      <c r="B37" s="10"/>
      <c r="C37" s="11">
        <v>6300</v>
      </c>
      <c r="D37" s="12" t="s">
        <v>17</v>
      </c>
      <c r="E37" s="13">
        <v>100000</v>
      </c>
      <c r="F37" s="13"/>
      <c r="G37" s="13"/>
      <c r="H37" s="13">
        <f>E37+F37-G37</f>
        <v>100000</v>
      </c>
    </row>
    <row r="38" spans="1:8" ht="15.75">
      <c r="A38" s="44">
        <v>921</v>
      </c>
      <c r="B38" s="45"/>
      <c r="C38" s="46"/>
      <c r="D38" s="47" t="s">
        <v>175</v>
      </c>
      <c r="E38" s="73">
        <f>E41+E39</f>
        <v>1842800</v>
      </c>
      <c r="F38" s="73">
        <f>F41+F39</f>
        <v>0</v>
      </c>
      <c r="G38" s="73">
        <f>G41+G39</f>
        <v>842800</v>
      </c>
      <c r="H38" s="73">
        <f>H41+H39</f>
        <v>1000000</v>
      </c>
    </row>
    <row r="39" spans="1:8" ht="15.75">
      <c r="A39" s="9"/>
      <c r="B39" s="10">
        <v>92109</v>
      </c>
      <c r="C39" s="11"/>
      <c r="D39" s="12" t="s">
        <v>177</v>
      </c>
      <c r="E39" s="13">
        <f>E40</f>
        <v>1000000</v>
      </c>
      <c r="F39" s="13">
        <f>F40</f>
        <v>0</v>
      </c>
      <c r="G39" s="13">
        <f>G40</f>
        <v>0</v>
      </c>
      <c r="H39" s="13">
        <f>H40</f>
        <v>1000000</v>
      </c>
    </row>
    <row r="40" spans="1:8" ht="31.5">
      <c r="A40" s="44"/>
      <c r="B40" s="45"/>
      <c r="C40" s="46">
        <v>6370</v>
      </c>
      <c r="D40" s="47" t="s">
        <v>187</v>
      </c>
      <c r="E40" s="73">
        <v>1000000</v>
      </c>
      <c r="F40" s="73"/>
      <c r="G40" s="73"/>
      <c r="H40" s="73">
        <f>E40+F40-G40</f>
        <v>1000000</v>
      </c>
    </row>
    <row r="41" spans="1:8" ht="15.75">
      <c r="A41" s="44"/>
      <c r="B41" s="45">
        <v>92120</v>
      </c>
      <c r="C41" s="46"/>
      <c r="D41" s="12" t="s">
        <v>180</v>
      </c>
      <c r="E41" s="73">
        <f>SUM(E42:E42)</f>
        <v>842800</v>
      </c>
      <c r="F41" s="73">
        <f>SUM(F42:F42)</f>
        <v>0</v>
      </c>
      <c r="G41" s="73">
        <f>SUM(G42:G42)</f>
        <v>842800</v>
      </c>
      <c r="H41" s="73">
        <f>SUM(H42:H42)</f>
        <v>0</v>
      </c>
    </row>
    <row r="42" spans="1:8" ht="45.75" customHeight="1">
      <c r="A42" s="44"/>
      <c r="B42" s="45"/>
      <c r="C42" s="11">
        <v>6090</v>
      </c>
      <c r="D42" s="12" t="s">
        <v>217</v>
      </c>
      <c r="E42" s="73">
        <v>842800</v>
      </c>
      <c r="F42" s="73"/>
      <c r="G42" s="73">
        <v>842800</v>
      </c>
      <c r="H42" s="73">
        <f>E42+F42-G42</f>
        <v>0</v>
      </c>
    </row>
    <row r="43" spans="1:8" ht="15.75">
      <c r="A43" s="9">
        <v>926</v>
      </c>
      <c r="B43" s="10"/>
      <c r="C43" s="11"/>
      <c r="D43" s="12" t="s">
        <v>89</v>
      </c>
      <c r="E43" s="13">
        <f>E44+E48</f>
        <v>109593</v>
      </c>
      <c r="F43" s="13">
        <f>F44+F48</f>
        <v>0</v>
      </c>
      <c r="G43" s="13">
        <f>G44+G48</f>
        <v>0</v>
      </c>
      <c r="H43" s="13">
        <f>H44+H48</f>
        <v>109593</v>
      </c>
    </row>
    <row r="44" spans="1:8" ht="15.75">
      <c r="A44" s="9"/>
      <c r="B44" s="10">
        <v>92695</v>
      </c>
      <c r="C44" s="11"/>
      <c r="D44" s="12" t="s">
        <v>8</v>
      </c>
      <c r="E44" s="13">
        <f>SUM(E45)</f>
        <v>109593</v>
      </c>
      <c r="F44" s="13">
        <f>SUM(F45)</f>
        <v>0</v>
      </c>
      <c r="G44" s="13">
        <f>SUM(G45)</f>
        <v>0</v>
      </c>
      <c r="H44" s="13">
        <f>SUM(H45)</f>
        <v>109593</v>
      </c>
    </row>
    <row r="45" spans="1:8" ht="45.75" customHeight="1">
      <c r="A45" s="44"/>
      <c r="B45" s="45"/>
      <c r="C45" s="11">
        <v>6260</v>
      </c>
      <c r="D45" s="12" t="s">
        <v>496</v>
      </c>
      <c r="E45" s="13">
        <v>109593</v>
      </c>
      <c r="F45" s="13"/>
      <c r="G45" s="13"/>
      <c r="H45" s="13">
        <f>E45+F45-G45</f>
        <v>109593</v>
      </c>
    </row>
    <row r="46" spans="1:8" ht="22.5" customHeight="1">
      <c r="A46" s="74"/>
      <c r="B46" s="75"/>
      <c r="C46" s="76"/>
      <c r="D46" s="77" t="s">
        <v>91</v>
      </c>
      <c r="E46" s="78">
        <f>E6+E14+E18+E38+E23+E32+E29+E43</f>
        <v>16863442.689999998</v>
      </c>
      <c r="F46" s="78">
        <f>F6+F14+F18+F23+F29+F32+F38+F43</f>
        <v>205000</v>
      </c>
      <c r="G46" s="78">
        <f>G6+G14+G18+G38+G23+G32+G29+G43</f>
        <v>3252185.34</v>
      </c>
      <c r="H46" s="78">
        <f>H6+H14+H18+H38+H23+H32+H29+H43</f>
        <v>13816257.35</v>
      </c>
    </row>
    <row r="48" spans="1:8">
      <c r="F48" s="392"/>
    </row>
    <row r="49" spans="5:6">
      <c r="E49" s="392"/>
      <c r="F49" s="392"/>
    </row>
    <row r="50" spans="5:6">
      <c r="F50" s="392"/>
    </row>
  </sheetData>
  <mergeCells count="1">
    <mergeCell ref="A1:H1"/>
  </mergeCells>
  <conditionalFormatting sqref="A6:H44 A45:E841">
    <cfRule type="expression" dxfId="292" priority="1" stopIfTrue="1">
      <formula>$D6 = "OGÓŁEM:"</formula>
    </cfRule>
    <cfRule type="expression" dxfId="291" priority="2" stopIfTrue="1">
      <formula>LEN($A6)&gt;1</formula>
    </cfRule>
    <cfRule type="expression" dxfId="290" priority="3" stopIfTrue="1">
      <formula>LEN($B6)&gt;1</formula>
    </cfRule>
  </conditionalFormatting>
  <conditionalFormatting sqref="F45:H46">
    <cfRule type="expression" dxfId="289" priority="7" stopIfTrue="1">
      <formula>$D45 = "OGÓŁEM:"</formula>
    </cfRule>
    <cfRule type="expression" dxfId="288" priority="8" stopIfTrue="1">
      <formula>LEN($A45)&gt;1</formula>
    </cfRule>
    <cfRule type="expression" dxfId="287" priority="9" stopIfTrue="1">
      <formula>LEN($B45)&gt;1</formula>
    </cfRule>
  </conditionalFormatting>
  <pageMargins left="0.31496062992125984" right="0.31496062992125984" top="0.94488188976377963" bottom="0.74803149606299213" header="0.31496062992125984" footer="0.31496062992125984"/>
  <pageSetup paperSize="9" scale="55" orientation="portrait" r:id="rId1"/>
  <headerFooter>
    <oddHeader xml:space="preserve">&amp;RZałącznik Nr 1b 
do Uchwały Nr XII/..../2024 
Rady Gminy Komorniki z dnia 28 listopada 2024r.    
w sprawie uchwały budżetowej na 2024r.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649"/>
  <sheetViews>
    <sheetView tabSelected="1" topLeftCell="A611" zoomScale="75" zoomScaleNormal="75" zoomScaleSheetLayoutView="75" workbookViewId="0">
      <selection activeCell="H557" sqref="H557"/>
    </sheetView>
  </sheetViews>
  <sheetFormatPr defaultRowHeight="15"/>
  <cols>
    <col min="1" max="1" width="6.140625" customWidth="1"/>
    <col min="2" max="2" width="6.85546875" customWidth="1"/>
    <col min="3" max="3" width="7" customWidth="1"/>
    <col min="4" max="4" width="64.140625" customWidth="1"/>
    <col min="5" max="5" width="16.28515625" customWidth="1"/>
    <col min="6" max="6" width="15" customWidth="1"/>
    <col min="7" max="7" width="16.42578125" customWidth="1"/>
    <col min="8" max="8" width="16.140625" customWidth="1"/>
    <col min="10" max="10" width="15.140625" customWidth="1"/>
    <col min="12" max="12" width="9.140625" customWidth="1"/>
  </cols>
  <sheetData>
    <row r="1" spans="1:8" ht="23.25">
      <c r="A1" s="500" t="s">
        <v>205</v>
      </c>
      <c r="B1" s="500"/>
      <c r="C1" s="500"/>
      <c r="D1" s="500"/>
      <c r="E1" s="500"/>
      <c r="F1" s="511"/>
      <c r="G1" s="511"/>
      <c r="H1" s="511"/>
    </row>
    <row r="2" spans="1:8" ht="9.75" customHeight="1"/>
    <row r="3" spans="1:8" ht="55.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11" t="s">
        <v>312</v>
      </c>
      <c r="G3" s="211" t="s">
        <v>313</v>
      </c>
      <c r="H3" s="297" t="s">
        <v>314</v>
      </c>
    </row>
    <row r="4" spans="1:8" ht="18.75" customHeight="1">
      <c r="A4" s="5">
        <v>1</v>
      </c>
      <c r="B4" s="6">
        <v>2</v>
      </c>
      <c r="C4" s="6">
        <v>3</v>
      </c>
      <c r="D4" s="6">
        <v>4</v>
      </c>
      <c r="E4" s="6">
        <v>5</v>
      </c>
      <c r="F4" s="212">
        <v>6</v>
      </c>
      <c r="G4" s="212">
        <v>7</v>
      </c>
      <c r="H4" s="268">
        <v>8</v>
      </c>
    </row>
    <row r="5" spans="1:8" ht="15.75">
      <c r="A5" s="9">
        <v>10</v>
      </c>
      <c r="B5" s="10"/>
      <c r="C5" s="11"/>
      <c r="D5" s="12" t="s">
        <v>5</v>
      </c>
      <c r="E5" s="13">
        <f>E6+E9+E11+E13+E18+E16</f>
        <v>1613491.24</v>
      </c>
      <c r="F5" s="13">
        <f>F6+F9+F11+F13+F18+F16</f>
        <v>0.01</v>
      </c>
      <c r="G5" s="13">
        <f>G6+G9+G11+G13+G18+G16</f>
        <v>200000.01</v>
      </c>
      <c r="H5" s="13">
        <f>H6+H9+H11+H13+H18+H16</f>
        <v>1413491.24</v>
      </c>
    </row>
    <row r="6" spans="1:8" ht="15.75">
      <c r="A6" s="9"/>
      <c r="B6" s="10">
        <v>1008</v>
      </c>
      <c r="C6" s="11"/>
      <c r="D6" s="12" t="s">
        <v>92</v>
      </c>
      <c r="E6" s="13">
        <f>SUM(E7:E8)</f>
        <v>859000</v>
      </c>
      <c r="F6" s="13">
        <f>SUM(F7:F8)</f>
        <v>0</v>
      </c>
      <c r="G6" s="13">
        <f>SUM(G7:G8)</f>
        <v>0</v>
      </c>
      <c r="H6" s="271">
        <f>SUM(H7:H8)</f>
        <v>859000</v>
      </c>
    </row>
    <row r="7" spans="1:8" ht="15.75">
      <c r="A7" s="9"/>
      <c r="B7" s="10"/>
      <c r="C7" s="11">
        <v>4300</v>
      </c>
      <c r="D7" s="12" t="s">
        <v>93</v>
      </c>
      <c r="E7" s="13">
        <f>520000+100000+100000</f>
        <v>720000</v>
      </c>
      <c r="F7" s="13"/>
      <c r="G7" s="13"/>
      <c r="H7" s="271">
        <f>E7+F7-G7</f>
        <v>720000</v>
      </c>
    </row>
    <row r="8" spans="1:8" ht="15.75">
      <c r="A8" s="9"/>
      <c r="B8" s="10"/>
      <c r="C8" s="11">
        <v>6050</v>
      </c>
      <c r="D8" s="12" t="s">
        <v>98</v>
      </c>
      <c r="E8" s="13">
        <f>99000+40000</f>
        <v>139000</v>
      </c>
      <c r="F8" s="13"/>
      <c r="G8" s="13"/>
      <c r="H8" s="271">
        <f>E8+F8-G8</f>
        <v>139000</v>
      </c>
    </row>
    <row r="9" spans="1:8" ht="15.75">
      <c r="A9" s="9"/>
      <c r="B9" s="10">
        <v>1009</v>
      </c>
      <c r="C9" s="11"/>
      <c r="D9" s="12" t="s">
        <v>94</v>
      </c>
      <c r="E9" s="13">
        <f>E10</f>
        <v>140000</v>
      </c>
      <c r="F9" s="13">
        <f>F10</f>
        <v>0</v>
      </c>
      <c r="G9" s="13">
        <f>G10</f>
        <v>0</v>
      </c>
      <c r="H9" s="271">
        <f>H10</f>
        <v>140000</v>
      </c>
    </row>
    <row r="10" spans="1:8" ht="15.75">
      <c r="A10" s="9"/>
      <c r="B10" s="10"/>
      <c r="C10" s="11">
        <v>4430</v>
      </c>
      <c r="D10" s="12" t="s">
        <v>95</v>
      </c>
      <c r="E10" s="13">
        <v>140000</v>
      </c>
      <c r="F10" s="13"/>
      <c r="G10" s="13"/>
      <c r="H10" s="271">
        <f>E10+F10-G10</f>
        <v>140000</v>
      </c>
    </row>
    <row r="11" spans="1:8" ht="15.75">
      <c r="A11" s="62"/>
      <c r="B11" s="10">
        <v>1030</v>
      </c>
      <c r="C11" s="11"/>
      <c r="D11" s="12" t="s">
        <v>96</v>
      </c>
      <c r="E11" s="13">
        <f>E12</f>
        <v>8400</v>
      </c>
      <c r="F11" s="13">
        <f>F12</f>
        <v>0</v>
      </c>
      <c r="G11" s="13">
        <f>G12</f>
        <v>0</v>
      </c>
      <c r="H11" s="271">
        <f>H12</f>
        <v>8400</v>
      </c>
    </row>
    <row r="12" spans="1:8" ht="31.5">
      <c r="A12" s="62"/>
      <c r="B12" s="10"/>
      <c r="C12" s="11">
        <v>2850</v>
      </c>
      <c r="D12" s="12" t="s">
        <v>97</v>
      </c>
      <c r="E12" s="13">
        <v>8400</v>
      </c>
      <c r="F12" s="13"/>
      <c r="G12" s="13"/>
      <c r="H12" s="271">
        <f>E12+F12-G12</f>
        <v>8400</v>
      </c>
    </row>
    <row r="13" spans="1:8" ht="15.75">
      <c r="A13" s="9"/>
      <c r="B13" s="10">
        <v>1044</v>
      </c>
      <c r="C13" s="11"/>
      <c r="D13" s="12" t="s">
        <v>6</v>
      </c>
      <c r="E13" s="13">
        <f>SUM(E14:E15)</f>
        <v>230000</v>
      </c>
      <c r="F13" s="13">
        <f>SUM(F14:F15)</f>
        <v>0</v>
      </c>
      <c r="G13" s="13">
        <f>SUM(G14:G15)</f>
        <v>200000</v>
      </c>
      <c r="H13" s="271">
        <f>SUM(H14:H15)</f>
        <v>30000</v>
      </c>
    </row>
    <row r="14" spans="1:8" ht="15.75">
      <c r="A14" s="9"/>
      <c r="B14" s="10"/>
      <c r="C14" s="11">
        <v>4300</v>
      </c>
      <c r="D14" s="12" t="s">
        <v>93</v>
      </c>
      <c r="E14" s="13">
        <v>30000</v>
      </c>
      <c r="F14" s="13"/>
      <c r="G14" s="13"/>
      <c r="H14" s="271">
        <v>30000</v>
      </c>
    </row>
    <row r="15" spans="1:8" ht="15.75">
      <c r="A15" s="9"/>
      <c r="B15" s="10"/>
      <c r="C15" s="11">
        <v>6050</v>
      </c>
      <c r="D15" s="12" t="s">
        <v>98</v>
      </c>
      <c r="E15" s="13">
        <v>200000</v>
      </c>
      <c r="F15" s="13"/>
      <c r="G15" s="13">
        <v>200000</v>
      </c>
      <c r="H15" s="271">
        <f>E15+F15-G15</f>
        <v>0</v>
      </c>
    </row>
    <row r="16" spans="1:8" ht="15.75">
      <c r="A16" s="9"/>
      <c r="B16" s="10">
        <v>1078</v>
      </c>
      <c r="C16" s="11"/>
      <c r="D16" s="12" t="s">
        <v>498</v>
      </c>
      <c r="E16" s="13">
        <f>SUM(E17)</f>
        <v>50000</v>
      </c>
      <c r="F16" s="13">
        <f>SUM(F17)</f>
        <v>0</v>
      </c>
      <c r="G16" s="13">
        <f>SUM(G17)</f>
        <v>0</v>
      </c>
      <c r="H16" s="271">
        <f>SUM(H17)</f>
        <v>50000</v>
      </c>
    </row>
    <row r="17" spans="1:10" ht="46.5" customHeight="1">
      <c r="A17" s="9"/>
      <c r="B17" s="10"/>
      <c r="C17" s="11">
        <v>6300</v>
      </c>
      <c r="D17" s="12" t="s">
        <v>109</v>
      </c>
      <c r="E17" s="13">
        <f>50000</f>
        <v>50000</v>
      </c>
      <c r="F17" s="13"/>
      <c r="G17" s="13"/>
      <c r="H17" s="271">
        <f>E17+F17-G17</f>
        <v>50000</v>
      </c>
    </row>
    <row r="18" spans="1:10" ht="15.75">
      <c r="A18" s="9"/>
      <c r="B18" s="10">
        <v>1095</v>
      </c>
      <c r="C18" s="11"/>
      <c r="D18" s="12" t="s">
        <v>8</v>
      </c>
      <c r="E18" s="13">
        <f>SUM(E19:E25)</f>
        <v>326091.24</v>
      </c>
      <c r="F18" s="13">
        <f>SUM(F19:F25)</f>
        <v>0.01</v>
      </c>
      <c r="G18" s="13">
        <f>SUM(G19:G25)</f>
        <v>0.01</v>
      </c>
      <c r="H18" s="271">
        <f>SUM(H19:H25)</f>
        <v>326091.24000000005</v>
      </c>
    </row>
    <row r="19" spans="1:10" ht="15.75">
      <c r="A19" s="9"/>
      <c r="B19" s="10"/>
      <c r="C19" s="11">
        <v>4110</v>
      </c>
      <c r="D19" s="12" t="s">
        <v>99</v>
      </c>
      <c r="E19" s="13">
        <f>500+339.33+397.45</f>
        <v>1236.78</v>
      </c>
      <c r="F19" s="13"/>
      <c r="G19" s="13"/>
      <c r="H19" s="271">
        <f>E19+F19-G19</f>
        <v>1236.78</v>
      </c>
    </row>
    <row r="20" spans="1:10" ht="15.75">
      <c r="A20" s="9"/>
      <c r="B20" s="10"/>
      <c r="C20" s="11">
        <v>4120</v>
      </c>
      <c r="D20" s="12" t="s">
        <v>100</v>
      </c>
      <c r="E20" s="13">
        <f>49.11+57.52</f>
        <v>106.63</v>
      </c>
      <c r="F20" s="13"/>
      <c r="G20" s="13"/>
      <c r="H20" s="271">
        <f t="shared" ref="H20:H25" si="0">E20+F20-G20</f>
        <v>106.63</v>
      </c>
    </row>
    <row r="21" spans="1:10" ht="15.75">
      <c r="A21" s="9"/>
      <c r="B21" s="10"/>
      <c r="C21" s="11">
        <v>4170</v>
      </c>
      <c r="D21" s="12" t="s">
        <v>101</v>
      </c>
      <c r="E21" s="13">
        <f>3000+2004.32+2347.59</f>
        <v>7351.91</v>
      </c>
      <c r="F21" s="13"/>
      <c r="G21" s="13">
        <v>0.01</v>
      </c>
      <c r="H21" s="271">
        <f t="shared" si="0"/>
        <v>7351.9</v>
      </c>
    </row>
    <row r="22" spans="1:10" ht="15.75">
      <c r="A22" s="9"/>
      <c r="B22" s="10"/>
      <c r="C22" s="11">
        <v>4210</v>
      </c>
      <c r="D22" s="12" t="s">
        <v>102</v>
      </c>
      <c r="E22" s="13">
        <f>18.2+17.5</f>
        <v>35.700000000000003</v>
      </c>
      <c r="F22" s="13"/>
      <c r="G22" s="13"/>
      <c r="H22" s="271">
        <f t="shared" si="0"/>
        <v>35.700000000000003</v>
      </c>
    </row>
    <row r="23" spans="1:10" ht="15.75">
      <c r="A23" s="9"/>
      <c r="B23" s="10"/>
      <c r="C23" s="11">
        <v>4300</v>
      </c>
      <c r="D23" s="12" t="s">
        <v>93</v>
      </c>
      <c r="E23" s="13">
        <f>3000+509.6+460.6</f>
        <v>3970.2</v>
      </c>
      <c r="F23" s="13"/>
      <c r="G23" s="13"/>
      <c r="H23" s="271">
        <f t="shared" si="0"/>
        <v>3970.2</v>
      </c>
    </row>
    <row r="24" spans="1:10" ht="15.75">
      <c r="A24" s="9"/>
      <c r="B24" s="10"/>
      <c r="C24" s="11">
        <v>4430</v>
      </c>
      <c r="D24" s="12" t="s">
        <v>95</v>
      </c>
      <c r="E24" s="13">
        <f>147531.46+165793.28</f>
        <v>313324.74</v>
      </c>
      <c r="F24" s="13">
        <v>0.01</v>
      </c>
      <c r="G24" s="13"/>
      <c r="H24" s="271">
        <f t="shared" si="0"/>
        <v>313324.75</v>
      </c>
    </row>
    <row r="25" spans="1:10" ht="15.75">
      <c r="A25" s="9"/>
      <c r="B25" s="10"/>
      <c r="C25" s="11">
        <v>4710</v>
      </c>
      <c r="D25" s="12" t="s">
        <v>103</v>
      </c>
      <c r="E25" s="13">
        <f>30.07+35.21</f>
        <v>65.28</v>
      </c>
      <c r="F25" s="13"/>
      <c r="G25" s="13"/>
      <c r="H25" s="271">
        <f t="shared" si="0"/>
        <v>65.28</v>
      </c>
    </row>
    <row r="26" spans="1:10" ht="15.75">
      <c r="A26" s="9"/>
      <c r="B26" s="10"/>
      <c r="C26" s="11"/>
      <c r="D26" s="12" t="s">
        <v>510</v>
      </c>
      <c r="E26" s="13"/>
      <c r="F26" s="13"/>
      <c r="G26" s="13"/>
      <c r="H26" s="271"/>
    </row>
    <row r="27" spans="1:10" ht="15.75" customHeight="1">
      <c r="A27" s="9">
        <v>400</v>
      </c>
      <c r="B27" s="10"/>
      <c r="C27" s="11"/>
      <c r="D27" s="12" t="s">
        <v>104</v>
      </c>
      <c r="E27" s="13">
        <f>E28</f>
        <v>470000</v>
      </c>
      <c r="F27" s="13">
        <f t="shared" ref="F27:H27" si="1">F28</f>
        <v>0</v>
      </c>
      <c r="G27" s="13">
        <f t="shared" si="1"/>
        <v>0</v>
      </c>
      <c r="H27" s="402">
        <f t="shared" si="1"/>
        <v>470000</v>
      </c>
    </row>
    <row r="28" spans="1:10" ht="15.75">
      <c r="A28" s="9"/>
      <c r="B28" s="10">
        <v>40002</v>
      </c>
      <c r="C28" s="11"/>
      <c r="D28" s="12" t="s">
        <v>105</v>
      </c>
      <c r="E28" s="13">
        <f>SUM(E29)</f>
        <v>470000</v>
      </c>
      <c r="F28" s="13">
        <f>SUM(F29)</f>
        <v>0</v>
      </c>
      <c r="G28" s="13">
        <f>SUM(G29)</f>
        <v>0</v>
      </c>
      <c r="H28" s="271">
        <v>470000</v>
      </c>
    </row>
    <row r="29" spans="1:10" ht="15.75">
      <c r="A29" s="9"/>
      <c r="B29" s="10"/>
      <c r="C29" s="11">
        <v>4300</v>
      </c>
      <c r="D29" s="12" t="s">
        <v>93</v>
      </c>
      <c r="E29" s="13">
        <v>470000</v>
      </c>
      <c r="F29" s="13"/>
      <c r="G29" s="13"/>
      <c r="H29" s="271">
        <v>470000</v>
      </c>
    </row>
    <row r="30" spans="1:10" ht="15.75">
      <c r="A30" s="9">
        <v>600</v>
      </c>
      <c r="B30" s="10"/>
      <c r="C30" s="11"/>
      <c r="D30" s="12" t="s">
        <v>12</v>
      </c>
      <c r="E30" s="13">
        <f>E31+E33+E38+E42+E50</f>
        <v>47133626.019999996</v>
      </c>
      <c r="F30" s="13">
        <f>F31+F33+F38+F42+F50</f>
        <v>101000</v>
      </c>
      <c r="G30" s="13">
        <f>G31+G33+G38+G42+G50</f>
        <v>577000</v>
      </c>
      <c r="H30" s="271">
        <f>H31+H33+H38+H42+H50</f>
        <v>46657626.019999996</v>
      </c>
      <c r="J30" s="23"/>
    </row>
    <row r="31" spans="1:10" ht="15.75">
      <c r="A31" s="9"/>
      <c r="B31" s="10">
        <v>60001</v>
      </c>
      <c r="C31" s="11"/>
      <c r="D31" s="12" t="s">
        <v>13</v>
      </c>
      <c r="E31" s="13">
        <f>SUM(E32)</f>
        <v>293275</v>
      </c>
      <c r="F31" s="13">
        <f>SUM(F32)</f>
        <v>0</v>
      </c>
      <c r="G31" s="13">
        <f>SUM(G32)</f>
        <v>0</v>
      </c>
      <c r="H31" s="271">
        <f>SUM(H32)</f>
        <v>293275</v>
      </c>
    </row>
    <row r="32" spans="1:10" ht="47.25">
      <c r="A32" s="9"/>
      <c r="B32" s="10"/>
      <c r="C32" s="11">
        <v>2710</v>
      </c>
      <c r="D32" s="12" t="s">
        <v>106</v>
      </c>
      <c r="E32" s="13">
        <v>293275</v>
      </c>
      <c r="F32" s="13"/>
      <c r="G32" s="13"/>
      <c r="H32" s="271">
        <f>E32+F32-G32</f>
        <v>293275</v>
      </c>
    </row>
    <row r="33" spans="1:8" ht="15.75">
      <c r="A33" s="9"/>
      <c r="B33" s="10">
        <v>60004</v>
      </c>
      <c r="C33" s="11"/>
      <c r="D33" s="12" t="s">
        <v>14</v>
      </c>
      <c r="E33" s="13">
        <f>SUM(E34:E37)</f>
        <v>10577071</v>
      </c>
      <c r="F33" s="13">
        <f>SUM(F34:F37)</f>
        <v>0</v>
      </c>
      <c r="G33" s="13">
        <f>SUM(G34:G37)</f>
        <v>0</v>
      </c>
      <c r="H33" s="402">
        <f>SUM(H34:H37)</f>
        <v>10577071</v>
      </c>
    </row>
    <row r="34" spans="1:8" ht="47.25">
      <c r="A34" s="9"/>
      <c r="B34" s="10"/>
      <c r="C34" s="11">
        <v>2310</v>
      </c>
      <c r="D34" s="12" t="s">
        <v>107</v>
      </c>
      <c r="E34" s="13">
        <v>9400000</v>
      </c>
      <c r="F34" s="13"/>
      <c r="G34" s="13"/>
      <c r="H34" s="271">
        <v>9400000</v>
      </c>
    </row>
    <row r="35" spans="1:8" ht="63">
      <c r="A35" s="9"/>
      <c r="B35" s="10"/>
      <c r="C35" s="11">
        <v>2900</v>
      </c>
      <c r="D35" s="12" t="s">
        <v>171</v>
      </c>
      <c r="E35" s="13">
        <v>120637</v>
      </c>
      <c r="F35" s="13"/>
      <c r="G35" s="13"/>
      <c r="H35" s="271">
        <v>120637</v>
      </c>
    </row>
    <row r="36" spans="1:8" ht="63">
      <c r="A36" s="9"/>
      <c r="B36" s="10"/>
      <c r="C36" s="11">
        <v>6650</v>
      </c>
      <c r="D36" s="12" t="s">
        <v>206</v>
      </c>
      <c r="E36" s="13">
        <v>56434</v>
      </c>
      <c r="F36" s="13"/>
      <c r="G36" s="13"/>
      <c r="H36" s="271">
        <v>56434</v>
      </c>
    </row>
    <row r="37" spans="1:8" ht="15.75">
      <c r="A37" s="9"/>
      <c r="B37" s="10"/>
      <c r="C37" s="70">
        <v>6010</v>
      </c>
      <c r="D37" s="71" t="s">
        <v>399</v>
      </c>
      <c r="E37" s="13">
        <v>1000000</v>
      </c>
      <c r="F37" s="13"/>
      <c r="G37" s="13"/>
      <c r="H37" s="271">
        <f>E37+F37-G37</f>
        <v>1000000</v>
      </c>
    </row>
    <row r="38" spans="1:8" ht="15.75">
      <c r="A38" s="9"/>
      <c r="B38" s="10">
        <v>60014</v>
      </c>
      <c r="C38" s="11"/>
      <c r="D38" s="12" t="s">
        <v>15</v>
      </c>
      <c r="E38" s="13">
        <f>SUM(E39:E41)</f>
        <v>2586668</v>
      </c>
      <c r="F38" s="13">
        <f>SUM(F39:F41)</f>
        <v>0</v>
      </c>
      <c r="G38" s="13">
        <f>SUM(G39:G41)</f>
        <v>60000</v>
      </c>
      <c r="H38" s="271">
        <f>SUM(H39:H41)</f>
        <v>2526668</v>
      </c>
    </row>
    <row r="39" spans="1:8" ht="15.75">
      <c r="A39" s="9"/>
      <c r="B39" s="10"/>
      <c r="C39" s="11">
        <v>4520</v>
      </c>
      <c r="D39" s="12" t="s">
        <v>108</v>
      </c>
      <c r="E39" s="13">
        <v>50000</v>
      </c>
      <c r="F39" s="13"/>
      <c r="G39" s="13"/>
      <c r="H39" s="271">
        <f>E39+F39-G39</f>
        <v>50000</v>
      </c>
    </row>
    <row r="40" spans="1:8" ht="15.75">
      <c r="A40" s="9"/>
      <c r="B40" s="10"/>
      <c r="C40" s="11">
        <v>6050</v>
      </c>
      <c r="D40" s="12" t="s">
        <v>98</v>
      </c>
      <c r="E40" s="13">
        <f>1000000+2415000-2000000+120000+70000-195000</f>
        <v>1410000</v>
      </c>
      <c r="F40" s="13"/>
      <c r="G40" s="13">
        <v>60000</v>
      </c>
      <c r="H40" s="271">
        <f>E40+F40-G40</f>
        <v>1350000</v>
      </c>
    </row>
    <row r="41" spans="1:8" ht="47.25">
      <c r="A41" s="9"/>
      <c r="B41" s="10"/>
      <c r="C41" s="11">
        <v>6300</v>
      </c>
      <c r="D41" s="12" t="s">
        <v>109</v>
      </c>
      <c r="E41" s="13">
        <f>150000-120000+1096668</f>
        <v>1126668</v>
      </c>
      <c r="F41" s="13"/>
      <c r="G41" s="13"/>
      <c r="H41" s="271">
        <f>E41+F41-G41</f>
        <v>1126668</v>
      </c>
    </row>
    <row r="42" spans="1:8" ht="15.75">
      <c r="A42" s="9"/>
      <c r="B42" s="10">
        <v>60016</v>
      </c>
      <c r="C42" s="11"/>
      <c r="D42" s="12" t="s">
        <v>16</v>
      </c>
      <c r="E42" s="13">
        <f>SUM(E43:E49)</f>
        <v>33526612.02</v>
      </c>
      <c r="F42" s="13">
        <f>SUM(F43:F49)</f>
        <v>101000</v>
      </c>
      <c r="G42" s="13">
        <f>SUM(G43:G49)</f>
        <v>517000</v>
      </c>
      <c r="H42" s="271">
        <f>SUM(H43:H49)</f>
        <v>33110612.02</v>
      </c>
    </row>
    <row r="43" spans="1:8" ht="15.75">
      <c r="A43" s="9"/>
      <c r="B43" s="10"/>
      <c r="C43" s="11">
        <v>4170</v>
      </c>
      <c r="D43" s="12" t="s">
        <v>101</v>
      </c>
      <c r="E43" s="13">
        <v>90000</v>
      </c>
      <c r="F43" s="13"/>
      <c r="G43" s="13"/>
      <c r="H43" s="271">
        <f>E43+F43-G43</f>
        <v>90000</v>
      </c>
    </row>
    <row r="44" spans="1:8" ht="15.75">
      <c r="A44" s="9"/>
      <c r="B44" s="10"/>
      <c r="C44" s="11">
        <v>4210</v>
      </c>
      <c r="D44" s="12" t="s">
        <v>102</v>
      </c>
      <c r="E44" s="13">
        <v>5000</v>
      </c>
      <c r="F44" s="13"/>
      <c r="G44" s="13"/>
      <c r="H44" s="271">
        <f t="shared" ref="H44:H49" si="2">E44+F44-G44</f>
        <v>5000</v>
      </c>
    </row>
    <row r="45" spans="1:8" ht="15.75">
      <c r="A45" s="9"/>
      <c r="B45" s="10"/>
      <c r="C45" s="11">
        <v>4270</v>
      </c>
      <c r="D45" s="12" t="s">
        <v>110</v>
      </c>
      <c r="E45" s="13">
        <f>450000+150000</f>
        <v>600000</v>
      </c>
      <c r="F45" s="13"/>
      <c r="G45" s="13">
        <v>100000</v>
      </c>
      <c r="H45" s="271">
        <f t="shared" si="2"/>
        <v>500000</v>
      </c>
    </row>
    <row r="46" spans="1:8" ht="15.75">
      <c r="A46" s="9"/>
      <c r="B46" s="10"/>
      <c r="C46" s="11">
        <v>4300</v>
      </c>
      <c r="D46" s="12" t="s">
        <v>93</v>
      </c>
      <c r="E46" s="13">
        <f>3400000-170000-150000+320000-150000-100000</f>
        <v>3150000</v>
      </c>
      <c r="F46" s="13">
        <v>100000</v>
      </c>
      <c r="G46" s="13"/>
      <c r="H46" s="271">
        <f t="shared" si="2"/>
        <v>3250000</v>
      </c>
    </row>
    <row r="47" spans="1:8" ht="15.75">
      <c r="A47" s="62"/>
      <c r="B47" s="63"/>
      <c r="C47" s="11">
        <v>4430</v>
      </c>
      <c r="D47" s="12" t="s">
        <v>95</v>
      </c>
      <c r="E47" s="13">
        <v>150000</v>
      </c>
      <c r="F47" s="13"/>
      <c r="G47" s="13"/>
      <c r="H47" s="271">
        <f t="shared" si="2"/>
        <v>150000</v>
      </c>
    </row>
    <row r="48" spans="1:8" ht="15.75">
      <c r="A48" s="9"/>
      <c r="B48" s="10"/>
      <c r="C48" s="11">
        <v>6050</v>
      </c>
      <c r="D48" s="12" t="s">
        <v>98</v>
      </c>
      <c r="E48" s="13">
        <f>21690000+10000+957800+2000000+600000+1000+170000+612000+396000+5016000-3766995+5000</f>
        <v>27690805</v>
      </c>
      <c r="F48" s="13">
        <v>1000</v>
      </c>
      <c r="G48" s="13">
        <v>417000</v>
      </c>
      <c r="H48" s="271">
        <f t="shared" si="2"/>
        <v>27274805</v>
      </c>
    </row>
    <row r="49" spans="1:8" ht="46.5" customHeight="1">
      <c r="A49" s="9"/>
      <c r="B49" s="10"/>
      <c r="C49" s="11">
        <v>6370</v>
      </c>
      <c r="D49" s="12" t="s">
        <v>215</v>
      </c>
      <c r="E49" s="13">
        <f>3000000-1159192.98</f>
        <v>1840807.02</v>
      </c>
      <c r="F49" s="13"/>
      <c r="G49" s="13"/>
      <c r="H49" s="271">
        <f t="shared" si="2"/>
        <v>1840807.02</v>
      </c>
    </row>
    <row r="50" spans="1:8" ht="15.75">
      <c r="A50" s="9"/>
      <c r="B50" s="10">
        <v>60095</v>
      </c>
      <c r="C50" s="11"/>
      <c r="D50" s="12" t="s">
        <v>8</v>
      </c>
      <c r="E50" s="13">
        <f>SUM(E51:E53)</f>
        <v>150000</v>
      </c>
      <c r="F50" s="13">
        <f>SUM(F51:F53)</f>
        <v>0</v>
      </c>
      <c r="G50" s="13">
        <f>SUM(G51:G53)</f>
        <v>0</v>
      </c>
      <c r="H50" s="271">
        <f>SUM(H51:H53)</f>
        <v>150000</v>
      </c>
    </row>
    <row r="51" spans="1:8" ht="15.75">
      <c r="A51" s="9"/>
      <c r="B51" s="10"/>
      <c r="C51" s="11">
        <v>4210</v>
      </c>
      <c r="D51" s="12" t="s">
        <v>102</v>
      </c>
      <c r="E51" s="13">
        <f>5000</f>
        <v>5000</v>
      </c>
      <c r="F51" s="13"/>
      <c r="G51" s="13"/>
      <c r="H51" s="271">
        <f>E51+F51-G51</f>
        <v>5000</v>
      </c>
    </row>
    <row r="52" spans="1:8" ht="15.75">
      <c r="A52" s="9"/>
      <c r="B52" s="10"/>
      <c r="C52" s="11">
        <v>4260</v>
      </c>
      <c r="D52" s="12" t="s">
        <v>111</v>
      </c>
      <c r="E52" s="13">
        <f>30000-5000-5000</f>
        <v>20000</v>
      </c>
      <c r="F52" s="13"/>
      <c r="G52" s="13"/>
      <c r="H52" s="271">
        <f>E52+F52-G52</f>
        <v>20000</v>
      </c>
    </row>
    <row r="53" spans="1:8" ht="15.75">
      <c r="A53" s="9"/>
      <c r="B53" s="10"/>
      <c r="C53" s="11">
        <v>4300</v>
      </c>
      <c r="D53" s="12" t="s">
        <v>93</v>
      </c>
      <c r="E53" s="13">
        <f>120000+5000</f>
        <v>125000</v>
      </c>
      <c r="F53" s="13"/>
      <c r="G53" s="13"/>
      <c r="H53" s="271">
        <f>E53+F53-G53</f>
        <v>125000</v>
      </c>
    </row>
    <row r="54" spans="1:8" ht="15.75">
      <c r="A54" s="9">
        <v>700</v>
      </c>
      <c r="B54" s="10"/>
      <c r="C54" s="11"/>
      <c r="D54" s="12" t="s">
        <v>18</v>
      </c>
      <c r="E54" s="13">
        <f>E55+E63+E69</f>
        <v>24628000</v>
      </c>
      <c r="F54" s="13">
        <f>F55+F63+F69</f>
        <v>0</v>
      </c>
      <c r="G54" s="13">
        <f>G55+G63+G69</f>
        <v>505000</v>
      </c>
      <c r="H54" s="271">
        <f>H55+H63+H69</f>
        <v>24123000</v>
      </c>
    </row>
    <row r="55" spans="1:8" ht="15.75">
      <c r="A55" s="9"/>
      <c r="B55" s="10">
        <v>70005</v>
      </c>
      <c r="C55" s="11"/>
      <c r="D55" s="12" t="s">
        <v>21</v>
      </c>
      <c r="E55" s="13">
        <f>SUM(E56:E62)</f>
        <v>20217000</v>
      </c>
      <c r="F55" s="13">
        <f>SUM(F56:F62)</f>
        <v>0</v>
      </c>
      <c r="G55" s="13">
        <f>SUM(G56:G62)</f>
        <v>0</v>
      </c>
      <c r="H55" s="271">
        <f>SUM(H56:H62)</f>
        <v>20217000</v>
      </c>
    </row>
    <row r="56" spans="1:8" ht="15.75">
      <c r="A56" s="9"/>
      <c r="B56" s="10"/>
      <c r="C56" s="11">
        <v>4210</v>
      </c>
      <c r="D56" s="12" t="s">
        <v>102</v>
      </c>
      <c r="E56" s="13">
        <v>10000</v>
      </c>
      <c r="F56" s="13"/>
      <c r="G56" s="13"/>
      <c r="H56" s="271">
        <f t="shared" ref="H56:H62" si="3">E56+F56-G56</f>
        <v>10000</v>
      </c>
    </row>
    <row r="57" spans="1:8" ht="15.75">
      <c r="A57" s="9"/>
      <c r="B57" s="10"/>
      <c r="C57" s="11">
        <v>4260</v>
      </c>
      <c r="D57" s="12" t="s">
        <v>111</v>
      </c>
      <c r="E57" s="13">
        <f>490000+100000</f>
        <v>590000</v>
      </c>
      <c r="F57" s="13"/>
      <c r="G57" s="13"/>
      <c r="H57" s="271">
        <f t="shared" si="3"/>
        <v>590000</v>
      </c>
    </row>
    <row r="58" spans="1:8" ht="15.75">
      <c r="A58" s="9"/>
      <c r="B58" s="10"/>
      <c r="C58" s="11">
        <v>4270</v>
      </c>
      <c r="D58" s="12" t="s">
        <v>110</v>
      </c>
      <c r="E58" s="13">
        <v>200000</v>
      </c>
      <c r="F58" s="13"/>
      <c r="G58" s="13"/>
      <c r="H58" s="271">
        <f t="shared" si="3"/>
        <v>200000</v>
      </c>
    </row>
    <row r="59" spans="1:8" ht="15.75">
      <c r="A59" s="9"/>
      <c r="B59" s="10"/>
      <c r="C59" s="11">
        <v>4300</v>
      </c>
      <c r="D59" s="12" t="s">
        <v>93</v>
      </c>
      <c r="E59" s="13">
        <f>350000-10000+80000</f>
        <v>420000</v>
      </c>
      <c r="F59" s="13"/>
      <c r="G59" s="13"/>
      <c r="H59" s="271">
        <f t="shared" si="3"/>
        <v>420000</v>
      </c>
    </row>
    <row r="60" spans="1:8" ht="15.75">
      <c r="A60" s="9"/>
      <c r="B60" s="10"/>
      <c r="C60" s="11">
        <v>4430</v>
      </c>
      <c r="D60" s="12" t="s">
        <v>95</v>
      </c>
      <c r="E60" s="13">
        <v>7000</v>
      </c>
      <c r="F60" s="13"/>
      <c r="G60" s="13"/>
      <c r="H60" s="271">
        <f t="shared" si="3"/>
        <v>7000</v>
      </c>
    </row>
    <row r="61" spans="1:8" ht="15.75">
      <c r="A61" s="9"/>
      <c r="B61" s="10"/>
      <c r="C61" s="11">
        <v>6050</v>
      </c>
      <c r="D61" s="12" t="s">
        <v>98</v>
      </c>
      <c r="E61" s="13">
        <f>650000-100000+50000</f>
        <v>600000</v>
      </c>
      <c r="F61" s="13"/>
      <c r="G61" s="13"/>
      <c r="H61" s="271">
        <f t="shared" si="3"/>
        <v>600000</v>
      </c>
    </row>
    <row r="62" spans="1:8" ht="15.75">
      <c r="A62" s="9"/>
      <c r="B62" s="10"/>
      <c r="C62" s="11">
        <v>6060</v>
      </c>
      <c r="D62" s="12" t="s">
        <v>112</v>
      </c>
      <c r="E62" s="13">
        <f>5790000-2000000-1696668+1696668+300000+300000+14000000</f>
        <v>18390000</v>
      </c>
      <c r="F62" s="13"/>
      <c r="G62" s="13"/>
      <c r="H62" s="271">
        <f t="shared" si="3"/>
        <v>18390000</v>
      </c>
    </row>
    <row r="63" spans="1:8" ht="15.75">
      <c r="A63" s="9"/>
      <c r="B63" s="10">
        <v>70007</v>
      </c>
      <c r="C63" s="11"/>
      <c r="D63" s="12" t="s">
        <v>24</v>
      </c>
      <c r="E63" s="13">
        <f>SUM(E64:E68)</f>
        <v>711000</v>
      </c>
      <c r="F63" s="13">
        <f>SUM(F64:F68)</f>
        <v>0</v>
      </c>
      <c r="G63" s="13">
        <f>SUM(G64:G68)</f>
        <v>0</v>
      </c>
      <c r="H63" s="271">
        <f>SUM(H64:H68)</f>
        <v>711000</v>
      </c>
    </row>
    <row r="64" spans="1:8" ht="15.75">
      <c r="A64" s="9"/>
      <c r="B64" s="10"/>
      <c r="C64" s="11">
        <v>4210</v>
      </c>
      <c r="D64" s="12" t="s">
        <v>102</v>
      </c>
      <c r="E64" s="13">
        <f>10000+36000</f>
        <v>46000</v>
      </c>
      <c r="F64" s="13"/>
      <c r="G64" s="13"/>
      <c r="H64" s="271">
        <f>E64+F64-G64</f>
        <v>46000</v>
      </c>
    </row>
    <row r="65" spans="1:8" ht="15.75">
      <c r="A65" s="9"/>
      <c r="B65" s="10"/>
      <c r="C65" s="11">
        <v>4260</v>
      </c>
      <c r="D65" s="12" t="s">
        <v>111</v>
      </c>
      <c r="E65" s="13">
        <f>240000+75000</f>
        <v>315000</v>
      </c>
      <c r="F65" s="13"/>
      <c r="G65" s="13"/>
      <c r="H65" s="271">
        <f>E65+F65-G65</f>
        <v>315000</v>
      </c>
    </row>
    <row r="66" spans="1:8" ht="15.75">
      <c r="A66" s="9"/>
      <c r="B66" s="10"/>
      <c r="C66" s="11">
        <v>4270</v>
      </c>
      <c r="D66" s="12" t="s">
        <v>110</v>
      </c>
      <c r="E66" s="13">
        <v>250000</v>
      </c>
      <c r="F66" s="13"/>
      <c r="G66" s="13"/>
      <c r="H66" s="271">
        <f>E66+F66-G66</f>
        <v>250000</v>
      </c>
    </row>
    <row r="67" spans="1:8" ht="15.75">
      <c r="A67" s="9"/>
      <c r="B67" s="10"/>
      <c r="C67" s="11">
        <v>4300</v>
      </c>
      <c r="D67" s="12" t="s">
        <v>93</v>
      </c>
      <c r="E67" s="13">
        <f>135000-36000</f>
        <v>99000</v>
      </c>
      <c r="F67" s="13"/>
      <c r="G67" s="13"/>
      <c r="H67" s="271">
        <f>E67+F67-G67</f>
        <v>99000</v>
      </c>
    </row>
    <row r="68" spans="1:8" ht="15.75">
      <c r="A68" s="9"/>
      <c r="B68" s="10"/>
      <c r="C68" s="11">
        <v>6050</v>
      </c>
      <c r="D68" s="12" t="s">
        <v>98</v>
      </c>
      <c r="E68" s="13">
        <f>70000-69000</f>
        <v>1000</v>
      </c>
      <c r="F68" s="13"/>
      <c r="G68" s="13"/>
      <c r="H68" s="271">
        <f>E68+F68-G68</f>
        <v>1000</v>
      </c>
    </row>
    <row r="69" spans="1:8" ht="15.75">
      <c r="A69" s="9"/>
      <c r="B69" s="10">
        <v>70095</v>
      </c>
      <c r="C69" s="11"/>
      <c r="D69" s="12" t="s">
        <v>8</v>
      </c>
      <c r="E69" s="13">
        <f>E70</f>
        <v>3700000</v>
      </c>
      <c r="F69" s="13">
        <f>F70</f>
        <v>0</v>
      </c>
      <c r="G69" s="13">
        <f>G70</f>
        <v>505000</v>
      </c>
      <c r="H69" s="271">
        <f>H70</f>
        <v>3195000</v>
      </c>
    </row>
    <row r="70" spans="1:8" ht="15.75">
      <c r="A70" s="9"/>
      <c r="B70" s="10"/>
      <c r="C70" s="11">
        <v>6050</v>
      </c>
      <c r="D70" s="12" t="s">
        <v>98</v>
      </c>
      <c r="E70" s="13">
        <v>3700000</v>
      </c>
      <c r="F70" s="13"/>
      <c r="G70" s="13">
        <v>505000</v>
      </c>
      <c r="H70" s="271">
        <f>E70+F70-G70</f>
        <v>3195000</v>
      </c>
    </row>
    <row r="71" spans="1:8" ht="15.75">
      <c r="A71" s="9">
        <v>710</v>
      </c>
      <c r="B71" s="10"/>
      <c r="C71" s="11"/>
      <c r="D71" s="12" t="s">
        <v>26</v>
      </c>
      <c r="E71" s="13">
        <f>E72+E77+E80</f>
        <v>675000</v>
      </c>
      <c r="F71" s="13">
        <f>F72+F77+F80</f>
        <v>0</v>
      </c>
      <c r="G71" s="13">
        <f>G72+G77+G80</f>
        <v>0</v>
      </c>
      <c r="H71" s="271">
        <f>H72+H77+H80</f>
        <v>675000</v>
      </c>
    </row>
    <row r="72" spans="1:8" ht="15.75">
      <c r="A72" s="9"/>
      <c r="B72" s="10">
        <v>71004</v>
      </c>
      <c r="C72" s="11"/>
      <c r="D72" s="12" t="s">
        <v>113</v>
      </c>
      <c r="E72" s="13">
        <f>SUM(E73:E76)</f>
        <v>340000</v>
      </c>
      <c r="F72" s="13">
        <f>SUM(F73:F76)</f>
        <v>0</v>
      </c>
      <c r="G72" s="13">
        <f>SUM(G73:G76)</f>
        <v>0</v>
      </c>
      <c r="H72" s="271">
        <f>SUM(H73:H76)</f>
        <v>340000</v>
      </c>
    </row>
    <row r="73" spans="1:8" ht="15.75">
      <c r="A73" s="9"/>
      <c r="B73" s="10"/>
      <c r="C73" s="11">
        <v>4170</v>
      </c>
      <c r="D73" s="12" t="s">
        <v>101</v>
      </c>
      <c r="E73" s="13">
        <v>15000</v>
      </c>
      <c r="F73" s="13"/>
      <c r="G73" s="13"/>
      <c r="H73" s="271">
        <f>E73+F73-G73</f>
        <v>15000</v>
      </c>
    </row>
    <row r="74" spans="1:8" ht="15.75">
      <c r="A74" s="9"/>
      <c r="B74" s="10"/>
      <c r="C74" s="11">
        <v>4300</v>
      </c>
      <c r="D74" s="12" t="s">
        <v>93</v>
      </c>
      <c r="E74" s="13">
        <v>50000</v>
      </c>
      <c r="F74" s="13"/>
      <c r="G74" s="13"/>
      <c r="H74" s="271">
        <f>E74+F74-G74</f>
        <v>50000</v>
      </c>
    </row>
    <row r="75" spans="1:8" ht="15.75">
      <c r="A75" s="9"/>
      <c r="B75" s="10"/>
      <c r="C75" s="11">
        <v>4430</v>
      </c>
      <c r="D75" s="12" t="s">
        <v>95</v>
      </c>
      <c r="E75" s="13">
        <v>35000</v>
      </c>
      <c r="F75" s="13"/>
      <c r="G75" s="13"/>
      <c r="H75" s="271">
        <f>E75+F75-G75</f>
        <v>35000</v>
      </c>
    </row>
    <row r="76" spans="1:8" ht="15.75">
      <c r="A76" s="9"/>
      <c r="B76" s="10"/>
      <c r="C76" s="11">
        <v>6050</v>
      </c>
      <c r="D76" s="12" t="s">
        <v>98</v>
      </c>
      <c r="E76" s="13">
        <f>390000-150000</f>
        <v>240000</v>
      </c>
      <c r="F76" s="13"/>
      <c r="G76" s="13"/>
      <c r="H76" s="271">
        <f>E76+F76-G76</f>
        <v>240000</v>
      </c>
    </row>
    <row r="77" spans="1:8" ht="15.75">
      <c r="A77" s="9"/>
      <c r="B77" s="10">
        <v>71012</v>
      </c>
      <c r="C77" s="11"/>
      <c r="D77" s="12" t="s">
        <v>114</v>
      </c>
      <c r="E77" s="13">
        <f>SUM(E78:E79)</f>
        <v>320000</v>
      </c>
      <c r="F77" s="13">
        <f>SUM(F78:F79)</f>
        <v>0</v>
      </c>
      <c r="G77" s="13">
        <f>SUM(G78:G79)</f>
        <v>0</v>
      </c>
      <c r="H77" s="271">
        <f>SUM(H78:H79)</f>
        <v>320000</v>
      </c>
    </row>
    <row r="78" spans="1:8" ht="15.75">
      <c r="A78" s="9"/>
      <c r="B78" s="10"/>
      <c r="C78" s="11">
        <v>4300</v>
      </c>
      <c r="D78" s="12" t="s">
        <v>93</v>
      </c>
      <c r="E78" s="13">
        <v>280000</v>
      </c>
      <c r="F78" s="13"/>
      <c r="G78" s="13"/>
      <c r="H78" s="271">
        <f>E78+F78-G78</f>
        <v>280000</v>
      </c>
    </row>
    <row r="79" spans="1:8" ht="15.75">
      <c r="A79" s="9"/>
      <c r="B79" s="10"/>
      <c r="C79" s="11">
        <v>4610</v>
      </c>
      <c r="D79" s="12" t="s">
        <v>115</v>
      </c>
      <c r="E79" s="13">
        <v>40000</v>
      </c>
      <c r="F79" s="13"/>
      <c r="G79" s="13"/>
      <c r="H79" s="271">
        <f>E79+F79-G79</f>
        <v>40000</v>
      </c>
    </row>
    <row r="80" spans="1:8" ht="15.75">
      <c r="A80" s="9"/>
      <c r="B80" s="10">
        <v>71095</v>
      </c>
      <c r="C80" s="11"/>
      <c r="D80" s="12" t="s">
        <v>8</v>
      </c>
      <c r="E80" s="13">
        <f>SUM(E81)</f>
        <v>15000</v>
      </c>
      <c r="F80" s="13">
        <f>SUM(F81)</f>
        <v>0</v>
      </c>
      <c r="G80" s="13">
        <f>SUM(G81)</f>
        <v>0</v>
      </c>
      <c r="H80" s="271">
        <f>SUM(H81)</f>
        <v>15000</v>
      </c>
    </row>
    <row r="81" spans="1:10" ht="15.75" customHeight="1">
      <c r="A81" s="9"/>
      <c r="B81" s="10"/>
      <c r="C81" s="11">
        <v>4430</v>
      </c>
      <c r="D81" s="12" t="s">
        <v>95</v>
      </c>
      <c r="E81" s="13">
        <v>15000</v>
      </c>
      <c r="F81" s="13"/>
      <c r="G81" s="13"/>
      <c r="H81" s="271">
        <f>E81+F81-G81</f>
        <v>15000</v>
      </c>
    </row>
    <row r="82" spans="1:10" ht="15.75">
      <c r="A82" s="9">
        <v>750</v>
      </c>
      <c r="B82" s="10"/>
      <c r="C82" s="11"/>
      <c r="D82" s="12" t="s">
        <v>28</v>
      </c>
      <c r="E82" s="13">
        <f>E83+E87+E91+E115+E122+E138</f>
        <v>22490176.650000002</v>
      </c>
      <c r="F82" s="13">
        <f>F83+F87+F91+F115+F122+F138</f>
        <v>250431.01</v>
      </c>
      <c r="G82" s="13">
        <f>G83+G87+G91+G115+G122+G138</f>
        <v>560693</v>
      </c>
      <c r="H82" s="271">
        <f>H83+H87+H91+H115+H122+H138</f>
        <v>22179914.66</v>
      </c>
      <c r="J82" s="23"/>
    </row>
    <row r="83" spans="1:10" ht="15.75">
      <c r="A83" s="9"/>
      <c r="B83" s="10">
        <v>75011</v>
      </c>
      <c r="C83" s="11"/>
      <c r="D83" s="12" t="s">
        <v>29</v>
      </c>
      <c r="E83" s="13">
        <f>SUM(E84:E86)</f>
        <v>462554</v>
      </c>
      <c r="F83" s="13">
        <f>SUM(F84:F86)</f>
        <v>6000</v>
      </c>
      <c r="G83" s="13">
        <f>SUM(G84:G86)</f>
        <v>0</v>
      </c>
      <c r="H83" s="271">
        <f>SUM(H84:H86)</f>
        <v>468554</v>
      </c>
    </row>
    <row r="84" spans="1:10" ht="15.75">
      <c r="A84" s="9"/>
      <c r="B84" s="10"/>
      <c r="C84" s="11">
        <v>4010</v>
      </c>
      <c r="D84" s="12" t="s">
        <v>116</v>
      </c>
      <c r="E84" s="13">
        <f>327818+18734+4813+35606</f>
        <v>386971</v>
      </c>
      <c r="F84" s="13">
        <v>5026</v>
      </c>
      <c r="G84" s="13"/>
      <c r="H84" s="271">
        <f>E84+F84-G84</f>
        <v>391997</v>
      </c>
    </row>
    <row r="85" spans="1:10" ht="15.75">
      <c r="A85" s="9"/>
      <c r="B85" s="10"/>
      <c r="C85" s="11">
        <v>4110</v>
      </c>
      <c r="D85" s="12" t="s">
        <v>99</v>
      </c>
      <c r="E85" s="13">
        <f>56057+3203+815+6028</f>
        <v>66103</v>
      </c>
      <c r="F85" s="13">
        <v>851</v>
      </c>
      <c r="G85" s="13"/>
      <c r="H85" s="271">
        <f>E85+F85-G85</f>
        <v>66954</v>
      </c>
    </row>
    <row r="86" spans="1:10" ht="15.75">
      <c r="A86" s="9"/>
      <c r="B86" s="10"/>
      <c r="C86" s="11">
        <v>4120</v>
      </c>
      <c r="D86" s="12" t="s">
        <v>100</v>
      </c>
      <c r="E86" s="13">
        <f>8031+459+118+872</f>
        <v>9480</v>
      </c>
      <c r="F86" s="13">
        <v>123</v>
      </c>
      <c r="G86" s="13"/>
      <c r="H86" s="271">
        <f>E86+F86-G86</f>
        <v>9603</v>
      </c>
    </row>
    <row r="87" spans="1:10" ht="15.75">
      <c r="A87" s="9"/>
      <c r="B87" s="10">
        <v>75022</v>
      </c>
      <c r="C87" s="11"/>
      <c r="D87" s="12" t="s">
        <v>117</v>
      </c>
      <c r="E87" s="13">
        <f>SUM(E88:E90)</f>
        <v>782540</v>
      </c>
      <c r="F87" s="13">
        <f>SUM(F88:F90)</f>
        <v>0</v>
      </c>
      <c r="G87" s="13">
        <f>SUM(G88:G90)</f>
        <v>0</v>
      </c>
      <c r="H87" s="271">
        <f>SUM(H88:H90)</f>
        <v>782540</v>
      </c>
    </row>
    <row r="88" spans="1:10" ht="15.75">
      <c r="A88" s="9"/>
      <c r="B88" s="10"/>
      <c r="C88" s="11">
        <v>3030</v>
      </c>
      <c r="D88" s="12" t="s">
        <v>118</v>
      </c>
      <c r="E88" s="13">
        <f>575540+100000-20000</f>
        <v>655540</v>
      </c>
      <c r="F88" s="13"/>
      <c r="G88" s="13"/>
      <c r="H88" s="271">
        <f>E88+F88-G88</f>
        <v>655540</v>
      </c>
    </row>
    <row r="89" spans="1:10" ht="15.75">
      <c r="A89" s="9"/>
      <c r="B89" s="10"/>
      <c r="C89" s="11">
        <v>4210</v>
      </c>
      <c r="D89" s="12" t="s">
        <v>102</v>
      </c>
      <c r="E89" s="13">
        <f>7000+5000+40000</f>
        <v>52000</v>
      </c>
      <c r="F89" s="13"/>
      <c r="G89" s="13"/>
      <c r="H89" s="271">
        <f>E89+F89-G89</f>
        <v>52000</v>
      </c>
    </row>
    <row r="90" spans="1:10" ht="15.75">
      <c r="A90" s="9"/>
      <c r="B90" s="10"/>
      <c r="C90" s="11">
        <v>4300</v>
      </c>
      <c r="D90" s="12" t="s">
        <v>93</v>
      </c>
      <c r="E90" s="13">
        <f>80000-5000</f>
        <v>75000</v>
      </c>
      <c r="F90" s="13"/>
      <c r="G90" s="13"/>
      <c r="H90" s="271">
        <f>E90+F90-G90</f>
        <v>75000</v>
      </c>
    </row>
    <row r="91" spans="1:10" ht="15.75">
      <c r="A91" s="62"/>
      <c r="B91" s="10">
        <v>75023</v>
      </c>
      <c r="C91" s="11"/>
      <c r="D91" s="12" t="s">
        <v>30</v>
      </c>
      <c r="E91" s="13">
        <f>SUM(E92:E114)</f>
        <v>17036906.670000002</v>
      </c>
      <c r="F91" s="13">
        <f>SUM(F92:F114)</f>
        <v>200000</v>
      </c>
      <c r="G91" s="13">
        <f>SUM(G92:G114)</f>
        <v>200000</v>
      </c>
      <c r="H91" s="271">
        <f>SUM(H92:H114)</f>
        <v>17036906.670000002</v>
      </c>
    </row>
    <row r="92" spans="1:10" ht="15.75">
      <c r="A92" s="62"/>
      <c r="B92" s="10"/>
      <c r="C92" s="11">
        <v>3020</v>
      </c>
      <c r="D92" s="12" t="s">
        <v>119</v>
      </c>
      <c r="E92" s="13">
        <v>30000</v>
      </c>
      <c r="F92" s="13"/>
      <c r="G92" s="13"/>
      <c r="H92" s="271">
        <f>E92+F92-G92</f>
        <v>30000</v>
      </c>
    </row>
    <row r="93" spans="1:10" ht="15.75">
      <c r="A93" s="62"/>
      <c r="B93" s="10"/>
      <c r="C93" s="11">
        <v>4010</v>
      </c>
      <c r="D93" s="12" t="s">
        <v>116</v>
      </c>
      <c r="E93" s="13">
        <f>8872827+1000000</f>
        <v>9872827</v>
      </c>
      <c r="F93" s="13"/>
      <c r="G93" s="13"/>
      <c r="H93" s="271">
        <f t="shared" ref="H93:H114" si="4">E93+F93-G93</f>
        <v>9872827</v>
      </c>
    </row>
    <row r="94" spans="1:10" ht="15.75">
      <c r="A94" s="62"/>
      <c r="B94" s="63"/>
      <c r="C94" s="11">
        <v>4040</v>
      </c>
      <c r="D94" s="12" t="s">
        <v>120</v>
      </c>
      <c r="E94" s="13">
        <v>685609</v>
      </c>
      <c r="F94" s="13"/>
      <c r="G94" s="13"/>
      <c r="H94" s="271">
        <f t="shared" si="4"/>
        <v>685609</v>
      </c>
    </row>
    <row r="95" spans="1:10" ht="15.75">
      <c r="A95" s="62"/>
      <c r="B95" s="63"/>
      <c r="C95" s="11">
        <v>4110</v>
      </c>
      <c r="D95" s="12" t="s">
        <v>99</v>
      </c>
      <c r="E95" s="13">
        <f>1545996+250000-4800</f>
        <v>1791196</v>
      </c>
      <c r="F95" s="13"/>
      <c r="G95" s="13"/>
      <c r="H95" s="271">
        <f t="shared" si="4"/>
        <v>1791196</v>
      </c>
    </row>
    <row r="96" spans="1:10" ht="15.75">
      <c r="A96" s="62"/>
      <c r="B96" s="63"/>
      <c r="C96" s="11">
        <v>4120</v>
      </c>
      <c r="D96" s="12" t="s">
        <v>100</v>
      </c>
      <c r="E96" s="13">
        <f>220343+50000-685</f>
        <v>269658</v>
      </c>
      <c r="F96" s="13"/>
      <c r="G96" s="13"/>
      <c r="H96" s="271">
        <f t="shared" si="4"/>
        <v>269658</v>
      </c>
    </row>
    <row r="97" spans="1:8" ht="27.75" customHeight="1">
      <c r="A97" s="9"/>
      <c r="B97" s="10"/>
      <c r="C97" s="11">
        <v>4140</v>
      </c>
      <c r="D97" s="12" t="s">
        <v>121</v>
      </c>
      <c r="E97" s="13">
        <v>140000</v>
      </c>
      <c r="F97" s="13"/>
      <c r="G97" s="13"/>
      <c r="H97" s="271">
        <f t="shared" si="4"/>
        <v>140000</v>
      </c>
    </row>
    <row r="98" spans="1:8" ht="15.75">
      <c r="A98" s="9"/>
      <c r="B98" s="10"/>
      <c r="C98" s="11">
        <v>4170</v>
      </c>
      <c r="D98" s="12" t="s">
        <v>101</v>
      </c>
      <c r="E98" s="13">
        <f>140000-28000</f>
        <v>112000</v>
      </c>
      <c r="F98" s="13"/>
      <c r="G98" s="13"/>
      <c r="H98" s="271">
        <f t="shared" si="4"/>
        <v>112000</v>
      </c>
    </row>
    <row r="99" spans="1:8" ht="15.75">
      <c r="A99" s="62"/>
      <c r="B99" s="63"/>
      <c r="C99" s="11">
        <v>4210</v>
      </c>
      <c r="D99" s="12" t="s">
        <v>102</v>
      </c>
      <c r="E99" s="13">
        <f>415000+20000</f>
        <v>435000</v>
      </c>
      <c r="F99" s="13">
        <v>200000</v>
      </c>
      <c r="G99" s="13"/>
      <c r="H99" s="271">
        <f t="shared" si="4"/>
        <v>635000</v>
      </c>
    </row>
    <row r="100" spans="1:8" ht="15.75">
      <c r="A100" s="62"/>
      <c r="B100" s="63"/>
      <c r="C100" s="11">
        <v>4220</v>
      </c>
      <c r="D100" s="12" t="s">
        <v>122</v>
      </c>
      <c r="E100" s="13">
        <v>5000</v>
      </c>
      <c r="F100" s="13"/>
      <c r="G100" s="13"/>
      <c r="H100" s="271">
        <f t="shared" si="4"/>
        <v>5000</v>
      </c>
    </row>
    <row r="101" spans="1:8" ht="15.75">
      <c r="A101" s="9"/>
      <c r="B101" s="10"/>
      <c r="C101" s="11">
        <v>4260</v>
      </c>
      <c r="D101" s="12" t="s">
        <v>111</v>
      </c>
      <c r="E101" s="13">
        <f>520000+100000</f>
        <v>620000</v>
      </c>
      <c r="F101" s="13"/>
      <c r="G101" s="13">
        <v>100000</v>
      </c>
      <c r="H101" s="271">
        <f t="shared" si="4"/>
        <v>520000</v>
      </c>
    </row>
    <row r="102" spans="1:8" ht="15.75">
      <c r="A102" s="62"/>
      <c r="B102" s="63"/>
      <c r="C102" s="11">
        <v>4270</v>
      </c>
      <c r="D102" s="12" t="s">
        <v>110</v>
      </c>
      <c r="E102" s="13">
        <f>200000+250000</f>
        <v>450000</v>
      </c>
      <c r="F102" s="13"/>
      <c r="G102" s="13"/>
      <c r="H102" s="271">
        <f t="shared" si="4"/>
        <v>450000</v>
      </c>
    </row>
    <row r="103" spans="1:8" ht="15.75">
      <c r="A103" s="9"/>
      <c r="B103" s="10"/>
      <c r="C103" s="11">
        <v>4280</v>
      </c>
      <c r="D103" s="12" t="s">
        <v>123</v>
      </c>
      <c r="E103" s="13">
        <v>12000</v>
      </c>
      <c r="F103" s="13"/>
      <c r="G103" s="13"/>
      <c r="H103" s="271">
        <f t="shared" si="4"/>
        <v>12000</v>
      </c>
    </row>
    <row r="104" spans="1:8" ht="15.75">
      <c r="A104" s="9"/>
      <c r="B104" s="10"/>
      <c r="C104" s="11">
        <v>4300</v>
      </c>
      <c r="D104" s="12" t="s">
        <v>93</v>
      </c>
      <c r="E104" s="13">
        <f>1550000+350000</f>
        <v>1900000</v>
      </c>
      <c r="F104" s="13"/>
      <c r="G104" s="13"/>
      <c r="H104" s="271">
        <f t="shared" si="4"/>
        <v>1900000</v>
      </c>
    </row>
    <row r="105" spans="1:8" ht="15.75">
      <c r="A105" s="62"/>
      <c r="B105" s="63"/>
      <c r="C105" s="11">
        <v>4360</v>
      </c>
      <c r="D105" s="12" t="s">
        <v>124</v>
      </c>
      <c r="E105" s="13">
        <v>40000</v>
      </c>
      <c r="F105" s="13"/>
      <c r="G105" s="13"/>
      <c r="H105" s="271">
        <f t="shared" si="4"/>
        <v>40000</v>
      </c>
    </row>
    <row r="106" spans="1:8" ht="15.75">
      <c r="A106" s="62"/>
      <c r="B106" s="63"/>
      <c r="C106" s="11">
        <v>4410</v>
      </c>
      <c r="D106" s="12" t="s">
        <v>125</v>
      </c>
      <c r="E106" s="13">
        <v>40000</v>
      </c>
      <c r="F106" s="13"/>
      <c r="G106" s="13"/>
      <c r="H106" s="271">
        <f t="shared" si="4"/>
        <v>40000</v>
      </c>
    </row>
    <row r="107" spans="1:8" ht="15.75">
      <c r="A107" s="62"/>
      <c r="B107" s="63"/>
      <c r="C107" s="11">
        <v>4420</v>
      </c>
      <c r="D107" s="12" t="s">
        <v>126</v>
      </c>
      <c r="E107" s="13">
        <v>5000</v>
      </c>
      <c r="F107" s="13"/>
      <c r="G107" s="13"/>
      <c r="H107" s="271">
        <f t="shared" si="4"/>
        <v>5000</v>
      </c>
    </row>
    <row r="108" spans="1:8" ht="15.75">
      <c r="A108" s="62"/>
      <c r="B108" s="63"/>
      <c r="C108" s="11">
        <v>4430</v>
      </c>
      <c r="D108" s="12" t="s">
        <v>95</v>
      </c>
      <c r="E108" s="13">
        <v>60000</v>
      </c>
      <c r="F108" s="13"/>
      <c r="G108" s="13"/>
      <c r="H108" s="271">
        <f t="shared" si="4"/>
        <v>60000</v>
      </c>
    </row>
    <row r="109" spans="1:8" ht="15.75">
      <c r="A109" s="62"/>
      <c r="B109" s="63"/>
      <c r="C109" s="11">
        <v>4440</v>
      </c>
      <c r="D109" s="12" t="s">
        <v>127</v>
      </c>
      <c r="E109" s="13">
        <f>160000+42126+1490.67</f>
        <v>203616.67</v>
      </c>
      <c r="F109" s="13"/>
      <c r="G109" s="13"/>
      <c r="H109" s="271">
        <f t="shared" si="4"/>
        <v>203616.67</v>
      </c>
    </row>
    <row r="110" spans="1:8" ht="30.75" customHeight="1">
      <c r="A110" s="62"/>
      <c r="B110" s="63"/>
      <c r="C110" s="11">
        <v>4500</v>
      </c>
      <c r="D110" s="12" t="s">
        <v>219</v>
      </c>
      <c r="E110" s="13">
        <f>3000+1500</f>
        <v>4500</v>
      </c>
      <c r="F110" s="13"/>
      <c r="G110" s="13"/>
      <c r="H110" s="271">
        <f t="shared" si="4"/>
        <v>4500</v>
      </c>
    </row>
    <row r="111" spans="1:8" ht="28.5" customHeight="1">
      <c r="A111" s="62"/>
      <c r="B111" s="63"/>
      <c r="C111" s="11">
        <v>4700</v>
      </c>
      <c r="D111" s="12" t="s">
        <v>128</v>
      </c>
      <c r="E111" s="13">
        <f>57000-1500</f>
        <v>55500</v>
      </c>
      <c r="F111" s="13"/>
      <c r="G111" s="13"/>
      <c r="H111" s="271">
        <f t="shared" si="4"/>
        <v>55500</v>
      </c>
    </row>
    <row r="112" spans="1:8" ht="15.75">
      <c r="A112" s="62"/>
      <c r="B112" s="63"/>
      <c r="C112" s="11">
        <v>4710</v>
      </c>
      <c r="D112" s="12" t="s">
        <v>103</v>
      </c>
      <c r="E112" s="13">
        <f>45000+10000</f>
        <v>55000</v>
      </c>
      <c r="F112" s="13"/>
      <c r="G112" s="13"/>
      <c r="H112" s="271">
        <f t="shared" si="4"/>
        <v>55000</v>
      </c>
    </row>
    <row r="113" spans="1:8" ht="15.75">
      <c r="A113" s="62"/>
      <c r="B113" s="63"/>
      <c r="C113" s="11">
        <v>6050</v>
      </c>
      <c r="D113" s="12" t="s">
        <v>98</v>
      </c>
      <c r="E113" s="13">
        <v>100000</v>
      </c>
      <c r="F113" s="13"/>
      <c r="G113" s="13">
        <v>100000</v>
      </c>
      <c r="H113" s="271">
        <f t="shared" si="4"/>
        <v>0</v>
      </c>
    </row>
    <row r="114" spans="1:8" ht="15.75">
      <c r="A114" s="62"/>
      <c r="B114" s="63"/>
      <c r="C114" s="11">
        <v>6060</v>
      </c>
      <c r="D114" s="12" t="s">
        <v>112</v>
      </c>
      <c r="E114" s="13">
        <v>150000</v>
      </c>
      <c r="F114" s="13"/>
      <c r="G114" s="13"/>
      <c r="H114" s="271">
        <f t="shared" si="4"/>
        <v>150000</v>
      </c>
    </row>
    <row r="115" spans="1:8" ht="15.75">
      <c r="A115" s="9"/>
      <c r="B115" s="10">
        <v>75075</v>
      </c>
      <c r="C115" s="11"/>
      <c r="D115" s="12" t="s">
        <v>129</v>
      </c>
      <c r="E115" s="13">
        <f>SUM(E116:E121)</f>
        <v>690000</v>
      </c>
      <c r="F115" s="13">
        <f>SUM(F116:F121)</f>
        <v>0</v>
      </c>
      <c r="G115" s="13">
        <f>SUM(G116:G121)</f>
        <v>0</v>
      </c>
      <c r="H115" s="271">
        <f>SUM(H116:H121)</f>
        <v>690000</v>
      </c>
    </row>
    <row r="116" spans="1:8" ht="15.75">
      <c r="A116" s="9"/>
      <c r="B116" s="10"/>
      <c r="C116" s="11">
        <v>4110</v>
      </c>
      <c r="D116" s="12" t="s">
        <v>99</v>
      </c>
      <c r="E116" s="13">
        <v>1600</v>
      </c>
      <c r="F116" s="13"/>
      <c r="G116" s="13"/>
      <c r="H116" s="271">
        <f t="shared" ref="H116:H121" si="5">E116+F116-G116</f>
        <v>1600</v>
      </c>
    </row>
    <row r="117" spans="1:8" ht="15.75">
      <c r="A117" s="9"/>
      <c r="B117" s="10"/>
      <c r="C117" s="11">
        <v>4120</v>
      </c>
      <c r="D117" s="12" t="s">
        <v>100</v>
      </c>
      <c r="E117" s="13">
        <v>250</v>
      </c>
      <c r="F117" s="13"/>
      <c r="G117" s="13"/>
      <c r="H117" s="271">
        <f t="shared" si="5"/>
        <v>250</v>
      </c>
    </row>
    <row r="118" spans="1:8" ht="15.75">
      <c r="A118" s="9"/>
      <c r="B118" s="10"/>
      <c r="C118" s="11">
        <v>4170</v>
      </c>
      <c r="D118" s="12" t="s">
        <v>101</v>
      </c>
      <c r="E118" s="13">
        <f>40000-400-1600</f>
        <v>38000</v>
      </c>
      <c r="F118" s="13"/>
      <c r="G118" s="13"/>
      <c r="H118" s="271">
        <f t="shared" si="5"/>
        <v>38000</v>
      </c>
    </row>
    <row r="119" spans="1:8" ht="15.75">
      <c r="A119" s="9"/>
      <c r="B119" s="10"/>
      <c r="C119" s="11">
        <v>4210</v>
      </c>
      <c r="D119" s="12" t="s">
        <v>102</v>
      </c>
      <c r="E119" s="13">
        <v>50000</v>
      </c>
      <c r="F119" s="13"/>
      <c r="G119" s="13"/>
      <c r="H119" s="271">
        <f t="shared" si="5"/>
        <v>50000</v>
      </c>
    </row>
    <row r="120" spans="1:8" ht="15.75">
      <c r="A120" s="9"/>
      <c r="B120" s="10"/>
      <c r="C120" s="11">
        <v>4300</v>
      </c>
      <c r="D120" s="12" t="s">
        <v>93</v>
      </c>
      <c r="E120" s="13">
        <f>550000+50000</f>
        <v>600000</v>
      </c>
      <c r="F120" s="13"/>
      <c r="G120" s="13"/>
      <c r="H120" s="271">
        <f t="shared" si="5"/>
        <v>600000</v>
      </c>
    </row>
    <row r="121" spans="1:8" ht="15.75">
      <c r="A121" s="9"/>
      <c r="B121" s="10"/>
      <c r="C121" s="11">
        <v>4710</v>
      </c>
      <c r="D121" s="12" t="s">
        <v>103</v>
      </c>
      <c r="E121" s="13">
        <v>150</v>
      </c>
      <c r="F121" s="13"/>
      <c r="G121" s="13"/>
      <c r="H121" s="271">
        <f t="shared" si="5"/>
        <v>150</v>
      </c>
    </row>
    <row r="122" spans="1:8" ht="15.75">
      <c r="A122" s="9"/>
      <c r="B122" s="10">
        <v>75085</v>
      </c>
      <c r="C122" s="11"/>
      <c r="D122" s="12" t="s">
        <v>130</v>
      </c>
      <c r="E122" s="13">
        <f>SUM(E123:E137)</f>
        <v>1672069</v>
      </c>
      <c r="F122" s="13">
        <f>SUM(F123:F137)</f>
        <v>5000</v>
      </c>
      <c r="G122" s="13">
        <f>SUM(G123:G137)</f>
        <v>0</v>
      </c>
      <c r="H122" s="271">
        <f>SUM(H123:H137)</f>
        <v>1677069</v>
      </c>
    </row>
    <row r="123" spans="1:8" ht="15.75">
      <c r="A123" s="9"/>
      <c r="B123" s="10"/>
      <c r="C123" s="11">
        <v>3020</v>
      </c>
      <c r="D123" s="12" t="s">
        <v>119</v>
      </c>
      <c r="E123" s="13">
        <v>4000</v>
      </c>
      <c r="F123" s="13"/>
      <c r="G123" s="13"/>
      <c r="H123" s="271">
        <f>E123+F123-G123</f>
        <v>4000</v>
      </c>
    </row>
    <row r="124" spans="1:8" ht="15.75">
      <c r="A124" s="9"/>
      <c r="B124" s="10"/>
      <c r="C124" s="11">
        <v>4010</v>
      </c>
      <c r="D124" s="12" t="s">
        <v>116</v>
      </c>
      <c r="E124" s="13">
        <f>1197085+50000</f>
        <v>1247085</v>
      </c>
      <c r="F124" s="13"/>
      <c r="G124" s="13"/>
      <c r="H124" s="271">
        <f t="shared" ref="H124:H137" si="6">E124+F124-G124</f>
        <v>1247085</v>
      </c>
    </row>
    <row r="125" spans="1:8" ht="15.75">
      <c r="A125" s="9"/>
      <c r="B125" s="10"/>
      <c r="C125" s="11">
        <v>4040</v>
      </c>
      <c r="D125" s="12" t="s">
        <v>120</v>
      </c>
      <c r="E125" s="13">
        <v>76515</v>
      </c>
      <c r="F125" s="13"/>
      <c r="G125" s="13"/>
      <c r="H125" s="271">
        <f t="shared" si="6"/>
        <v>76515</v>
      </c>
    </row>
    <row r="126" spans="1:8" ht="15.75">
      <c r="A126" s="9"/>
      <c r="B126" s="10"/>
      <c r="C126" s="11">
        <v>4110</v>
      </c>
      <c r="D126" s="12" t="s">
        <v>99</v>
      </c>
      <c r="E126" s="13">
        <f>188007+20000</f>
        <v>208007</v>
      </c>
      <c r="F126" s="13"/>
      <c r="G126" s="13"/>
      <c r="H126" s="271">
        <f t="shared" si="6"/>
        <v>208007</v>
      </c>
    </row>
    <row r="127" spans="1:8" ht="15.75">
      <c r="A127" s="9"/>
      <c r="B127" s="10"/>
      <c r="C127" s="11">
        <v>4120</v>
      </c>
      <c r="D127" s="12" t="s">
        <v>100</v>
      </c>
      <c r="E127" s="13">
        <f>26797+10000</f>
        <v>36797</v>
      </c>
      <c r="F127" s="13"/>
      <c r="G127" s="13"/>
      <c r="H127" s="271">
        <f t="shared" si="6"/>
        <v>36797</v>
      </c>
    </row>
    <row r="128" spans="1:8" ht="15.75">
      <c r="A128" s="62"/>
      <c r="B128" s="63"/>
      <c r="C128" s="11">
        <v>4170</v>
      </c>
      <c r="D128" s="12" t="s">
        <v>101</v>
      </c>
      <c r="E128" s="13">
        <v>5000</v>
      </c>
      <c r="F128" s="13"/>
      <c r="G128" s="13"/>
      <c r="H128" s="271">
        <f t="shared" si="6"/>
        <v>5000</v>
      </c>
    </row>
    <row r="129" spans="1:8" ht="15.75">
      <c r="A129" s="9"/>
      <c r="B129" s="10"/>
      <c r="C129" s="11">
        <v>4210</v>
      </c>
      <c r="D129" s="12" t="s">
        <v>102</v>
      </c>
      <c r="E129" s="13">
        <v>30000</v>
      </c>
      <c r="F129" s="13"/>
      <c r="G129" s="13"/>
      <c r="H129" s="271">
        <f t="shared" si="6"/>
        <v>30000</v>
      </c>
    </row>
    <row r="130" spans="1:8" ht="15.75">
      <c r="A130" s="9"/>
      <c r="B130" s="10"/>
      <c r="C130" s="11">
        <v>4260</v>
      </c>
      <c r="D130" s="12" t="s">
        <v>111</v>
      </c>
      <c r="E130" s="13">
        <v>10000</v>
      </c>
      <c r="F130" s="13"/>
      <c r="G130" s="13"/>
      <c r="H130" s="271">
        <f t="shared" si="6"/>
        <v>10000</v>
      </c>
    </row>
    <row r="131" spans="1:8" ht="15.75">
      <c r="A131" s="9"/>
      <c r="B131" s="10"/>
      <c r="C131" s="11">
        <v>4280</v>
      </c>
      <c r="D131" s="12" t="s">
        <v>123</v>
      </c>
      <c r="E131" s="13">
        <v>800</v>
      </c>
      <c r="F131" s="13"/>
      <c r="G131" s="13"/>
      <c r="H131" s="271">
        <f t="shared" si="6"/>
        <v>800</v>
      </c>
    </row>
    <row r="132" spans="1:8" ht="15.75">
      <c r="A132" s="9"/>
      <c r="B132" s="10"/>
      <c r="C132" s="11">
        <v>4300</v>
      </c>
      <c r="D132" s="12" t="s">
        <v>93</v>
      </c>
      <c r="E132" s="13">
        <v>20000</v>
      </c>
      <c r="F132" s="13"/>
      <c r="G132" s="13"/>
      <c r="H132" s="271">
        <f t="shared" si="6"/>
        <v>20000</v>
      </c>
    </row>
    <row r="133" spans="1:8" ht="15.75">
      <c r="A133" s="9"/>
      <c r="B133" s="10"/>
      <c r="C133" s="11">
        <v>4360</v>
      </c>
      <c r="D133" s="12" t="s">
        <v>124</v>
      </c>
      <c r="E133" s="13">
        <v>1500</v>
      </c>
      <c r="F133" s="13"/>
      <c r="G133" s="13"/>
      <c r="H133" s="271">
        <f t="shared" si="6"/>
        <v>1500</v>
      </c>
    </row>
    <row r="134" spans="1:8" ht="15.75">
      <c r="A134" s="9"/>
      <c r="B134" s="10"/>
      <c r="C134" s="11">
        <v>4410</v>
      </c>
      <c r="D134" s="12" t="s">
        <v>125</v>
      </c>
      <c r="E134" s="13">
        <v>900</v>
      </c>
      <c r="F134" s="13"/>
      <c r="G134" s="13"/>
      <c r="H134" s="271">
        <f t="shared" si="6"/>
        <v>900</v>
      </c>
    </row>
    <row r="135" spans="1:8" ht="15.75">
      <c r="A135" s="9"/>
      <c r="B135" s="10"/>
      <c r="C135" s="11">
        <v>4440</v>
      </c>
      <c r="D135" s="12" t="s">
        <v>127</v>
      </c>
      <c r="E135" s="13">
        <f>16000+5755-290</f>
        <v>21465</v>
      </c>
      <c r="F135" s="13"/>
      <c r="G135" s="13"/>
      <c r="H135" s="271">
        <f t="shared" si="6"/>
        <v>21465</v>
      </c>
    </row>
    <row r="136" spans="1:8" ht="27.75" customHeight="1">
      <c r="A136" s="9"/>
      <c r="B136" s="10"/>
      <c r="C136" s="11">
        <v>4700</v>
      </c>
      <c r="D136" s="12" t="s">
        <v>128</v>
      </c>
      <c r="E136" s="13">
        <v>8000</v>
      </c>
      <c r="F136" s="13"/>
      <c r="G136" s="13"/>
      <c r="H136" s="271">
        <f t="shared" si="6"/>
        <v>8000</v>
      </c>
    </row>
    <row r="137" spans="1:8" ht="15.75">
      <c r="A137" s="9"/>
      <c r="B137" s="10"/>
      <c r="C137" s="11">
        <v>4710</v>
      </c>
      <c r="D137" s="12" t="s">
        <v>103</v>
      </c>
      <c r="E137" s="13">
        <f>1500+500</f>
        <v>2000</v>
      </c>
      <c r="F137" s="13">
        <v>5000</v>
      </c>
      <c r="G137" s="13"/>
      <c r="H137" s="271">
        <f t="shared" si="6"/>
        <v>7000</v>
      </c>
    </row>
    <row r="138" spans="1:8" ht="15.75">
      <c r="A138" s="9"/>
      <c r="B138" s="10">
        <v>75095</v>
      </c>
      <c r="C138" s="11"/>
      <c r="D138" s="12" t="s">
        <v>8</v>
      </c>
      <c r="E138" s="13">
        <f>SUM(E139:E149)</f>
        <v>1846106.98</v>
      </c>
      <c r="F138" s="13">
        <f>SUM(F139:F149)</f>
        <v>39431.01</v>
      </c>
      <c r="G138" s="13">
        <f>SUM(G139:G149)</f>
        <v>360693</v>
      </c>
      <c r="H138" s="271">
        <f>SUM(H139:H149)</f>
        <v>1524844.99</v>
      </c>
    </row>
    <row r="139" spans="1:8" ht="15.75">
      <c r="A139" s="9"/>
      <c r="B139" s="10"/>
      <c r="C139" s="11">
        <v>3030</v>
      </c>
      <c r="D139" s="12" t="s">
        <v>118</v>
      </c>
      <c r="E139" s="13">
        <v>81200</v>
      </c>
      <c r="F139" s="13"/>
      <c r="G139" s="13"/>
      <c r="H139" s="271">
        <f>E139+F139-G139</f>
        <v>81200</v>
      </c>
    </row>
    <row r="140" spans="1:8" ht="15.75">
      <c r="A140" s="9"/>
      <c r="B140" s="10"/>
      <c r="C140" s="11">
        <v>4100</v>
      </c>
      <c r="D140" s="12" t="s">
        <v>131</v>
      </c>
      <c r="E140" s="13">
        <v>5000</v>
      </c>
      <c r="F140" s="13"/>
      <c r="G140" s="13"/>
      <c r="H140" s="271">
        <f t="shared" ref="H140:H149" si="7">E140+F140-G140</f>
        <v>5000</v>
      </c>
    </row>
    <row r="141" spans="1:8" ht="15.75">
      <c r="A141" s="9"/>
      <c r="B141" s="10"/>
      <c r="C141" s="11">
        <v>4210</v>
      </c>
      <c r="D141" s="12" t="s">
        <v>102</v>
      </c>
      <c r="E141" s="13">
        <v>40000</v>
      </c>
      <c r="F141" s="13"/>
      <c r="G141" s="13"/>
      <c r="H141" s="271">
        <f t="shared" si="7"/>
        <v>40000</v>
      </c>
    </row>
    <row r="142" spans="1:8" ht="15.75">
      <c r="A142" s="9"/>
      <c r="B142" s="10"/>
      <c r="C142" s="11">
        <v>4300</v>
      </c>
      <c r="D142" s="12" t="s">
        <v>93</v>
      </c>
      <c r="E142" s="13">
        <f>120000+78082</f>
        <v>198082</v>
      </c>
      <c r="F142" s="13"/>
      <c r="G142" s="13"/>
      <c r="H142" s="271">
        <f t="shared" si="7"/>
        <v>198082</v>
      </c>
    </row>
    <row r="143" spans="1:8" ht="15.75">
      <c r="A143" s="9"/>
      <c r="B143" s="10"/>
      <c r="C143" s="11">
        <v>4309</v>
      </c>
      <c r="D143" s="12" t="s">
        <v>93</v>
      </c>
      <c r="E143" s="13"/>
      <c r="F143" s="13">
        <v>37000</v>
      </c>
      <c r="G143" s="13"/>
      <c r="H143" s="271">
        <f t="shared" si="7"/>
        <v>37000</v>
      </c>
    </row>
    <row r="144" spans="1:8" ht="15.75">
      <c r="A144" s="9"/>
      <c r="B144" s="10"/>
      <c r="C144" s="11">
        <v>4430</v>
      </c>
      <c r="D144" s="12" t="s">
        <v>95</v>
      </c>
      <c r="E144" s="13">
        <f>250000+165000</f>
        <v>415000</v>
      </c>
      <c r="F144" s="13"/>
      <c r="G144" s="13"/>
      <c r="H144" s="271">
        <f t="shared" si="7"/>
        <v>415000</v>
      </c>
    </row>
    <row r="145" spans="1:8" ht="15.75">
      <c r="A145" s="9"/>
      <c r="B145" s="10"/>
      <c r="C145" s="11">
        <v>4610</v>
      </c>
      <c r="D145" s="12" t="s">
        <v>115</v>
      </c>
      <c r="E145" s="13">
        <v>50000</v>
      </c>
      <c r="F145" s="13"/>
      <c r="G145" s="13"/>
      <c r="H145" s="271">
        <f t="shared" si="7"/>
        <v>50000</v>
      </c>
    </row>
    <row r="146" spans="1:8" ht="31.5">
      <c r="A146" s="9"/>
      <c r="B146" s="10"/>
      <c r="C146" s="11">
        <v>4740</v>
      </c>
      <c r="D146" s="12" t="s">
        <v>319</v>
      </c>
      <c r="E146" s="13">
        <f>26.25+773.77+643.19+1930.55+1881.01+1374.42</f>
        <v>6629.1900000000005</v>
      </c>
      <c r="F146" s="13">
        <v>2036.36</v>
      </c>
      <c r="G146" s="13"/>
      <c r="H146" s="271">
        <f t="shared" si="7"/>
        <v>8665.5500000000011</v>
      </c>
    </row>
    <row r="147" spans="1:8" ht="31.5">
      <c r="A147" s="9"/>
      <c r="B147" s="10"/>
      <c r="C147" s="11">
        <v>4850</v>
      </c>
      <c r="D147" s="12" t="s">
        <v>322</v>
      </c>
      <c r="E147" s="13">
        <f>5.13+151.27+123.3+374.14+371.59+266.36</f>
        <v>1291.79</v>
      </c>
      <c r="F147" s="13">
        <v>394.65</v>
      </c>
      <c r="G147" s="13"/>
      <c r="H147" s="271">
        <f t="shared" si="7"/>
        <v>1686.44</v>
      </c>
    </row>
    <row r="148" spans="1:8" ht="15.75">
      <c r="A148" s="9"/>
      <c r="B148" s="10"/>
      <c r="C148" s="11">
        <v>6067</v>
      </c>
      <c r="D148" s="12" t="s">
        <v>112</v>
      </c>
      <c r="E148" s="13">
        <f>756500</f>
        <v>756500</v>
      </c>
      <c r="F148" s="13"/>
      <c r="G148" s="13">
        <f>529550-271307</f>
        <v>258243</v>
      </c>
      <c r="H148" s="271">
        <f t="shared" si="7"/>
        <v>498257</v>
      </c>
    </row>
    <row r="149" spans="1:8" ht="15.75">
      <c r="A149" s="9"/>
      <c r="B149" s="10"/>
      <c r="C149" s="11">
        <v>6069</v>
      </c>
      <c r="D149" s="12" t="s">
        <v>112</v>
      </c>
      <c r="E149" s="13">
        <f>93500+161904+30000+7000</f>
        <v>292404</v>
      </c>
      <c r="F149" s="13"/>
      <c r="G149" s="13">
        <f>65450+37000</f>
        <v>102450</v>
      </c>
      <c r="H149" s="271">
        <f t="shared" si="7"/>
        <v>189954</v>
      </c>
    </row>
    <row r="150" spans="1:8" ht="31.5">
      <c r="A150" s="9">
        <v>751</v>
      </c>
      <c r="B150" s="10"/>
      <c r="C150" s="11"/>
      <c r="D150" s="12" t="s">
        <v>32</v>
      </c>
      <c r="E150" s="13">
        <f>E151+E155+E163</f>
        <v>446581</v>
      </c>
      <c r="F150" s="13">
        <f>F151+F155+F163</f>
        <v>0</v>
      </c>
      <c r="G150" s="13">
        <f>G151+G155+G163</f>
        <v>0</v>
      </c>
      <c r="H150" s="402">
        <f>H151+H155+H163</f>
        <v>446581</v>
      </c>
    </row>
    <row r="151" spans="1:8" ht="31.5">
      <c r="A151" s="9"/>
      <c r="B151" s="10">
        <v>75101</v>
      </c>
      <c r="C151" s="11"/>
      <c r="D151" s="12" t="s">
        <v>33</v>
      </c>
      <c r="E151" s="13">
        <f>SUM(E152:E154)</f>
        <v>5849</v>
      </c>
      <c r="F151" s="13">
        <f>SUM(F152:F154)</f>
        <v>0</v>
      </c>
      <c r="G151" s="13">
        <f>SUM(G152:G154)</f>
        <v>0</v>
      </c>
      <c r="H151" s="271">
        <f>SUM(H152:H154)</f>
        <v>5849</v>
      </c>
    </row>
    <row r="152" spans="1:8" ht="15.75">
      <c r="A152" s="9"/>
      <c r="B152" s="10"/>
      <c r="C152" s="11">
        <v>4010</v>
      </c>
      <c r="D152" s="12" t="s">
        <v>116</v>
      </c>
      <c r="E152" s="13">
        <v>4892</v>
      </c>
      <c r="F152" s="13"/>
      <c r="G152" s="13"/>
      <c r="H152" s="271">
        <f>E152+F152-G152</f>
        <v>4892</v>
      </c>
    </row>
    <row r="153" spans="1:8" ht="15.75">
      <c r="A153" s="9"/>
      <c r="B153" s="10"/>
      <c r="C153" s="11">
        <v>4110</v>
      </c>
      <c r="D153" s="12" t="s">
        <v>99</v>
      </c>
      <c r="E153" s="13">
        <v>837</v>
      </c>
      <c r="F153" s="13"/>
      <c r="G153" s="13"/>
      <c r="H153" s="271">
        <f>E153+F153-G153</f>
        <v>837</v>
      </c>
    </row>
    <row r="154" spans="1:8" ht="15.75">
      <c r="A154" s="9"/>
      <c r="B154" s="10"/>
      <c r="C154" s="11">
        <v>4120</v>
      </c>
      <c r="D154" s="12" t="s">
        <v>100</v>
      </c>
      <c r="E154" s="13">
        <v>120</v>
      </c>
      <c r="F154" s="13"/>
      <c r="G154" s="13"/>
      <c r="H154" s="271">
        <f>E154+F154-G154</f>
        <v>120</v>
      </c>
    </row>
    <row r="155" spans="1:8" ht="47.25">
      <c r="A155" s="68"/>
      <c r="B155" s="69">
        <v>75109</v>
      </c>
      <c r="C155" s="70"/>
      <c r="D155" s="71" t="s">
        <v>344</v>
      </c>
      <c r="E155" s="72">
        <f>SUM(E156:E162)</f>
        <v>316703</v>
      </c>
      <c r="F155" s="72">
        <f>SUM(F156:F162)</f>
        <v>0</v>
      </c>
      <c r="G155" s="72">
        <f>SUM(G156:G162)</f>
        <v>0</v>
      </c>
      <c r="H155" s="270">
        <f>SUM(H156:H162)</f>
        <v>316703</v>
      </c>
    </row>
    <row r="156" spans="1:8" ht="15.75">
      <c r="A156" s="68"/>
      <c r="B156" s="69"/>
      <c r="C156" s="11">
        <v>3030</v>
      </c>
      <c r="D156" s="12" t="s">
        <v>118</v>
      </c>
      <c r="E156" s="72">
        <f>121000+64420+2660</f>
        <v>188080</v>
      </c>
      <c r="F156" s="72"/>
      <c r="G156" s="72"/>
      <c r="H156" s="271">
        <f t="shared" ref="H156:H162" si="8">E156+F156-G156</f>
        <v>188080</v>
      </c>
    </row>
    <row r="157" spans="1:8" ht="15.75">
      <c r="A157" s="9"/>
      <c r="B157" s="10"/>
      <c r="C157" s="11">
        <v>4110</v>
      </c>
      <c r="D157" s="12" t="s">
        <v>99</v>
      </c>
      <c r="E157" s="13">
        <f>11301-6377+3513-946.02</f>
        <v>7490.98</v>
      </c>
      <c r="F157" s="13"/>
      <c r="G157" s="13"/>
      <c r="H157" s="271">
        <f t="shared" si="8"/>
        <v>7490.98</v>
      </c>
    </row>
    <row r="158" spans="1:8" ht="15.75">
      <c r="A158" s="9"/>
      <c r="B158" s="10"/>
      <c r="C158" s="11">
        <v>4120</v>
      </c>
      <c r="D158" s="12" t="s">
        <v>100</v>
      </c>
      <c r="E158" s="13">
        <f>1619-914+509-284.41</f>
        <v>929.58999999999992</v>
      </c>
      <c r="F158" s="13"/>
      <c r="G158" s="13"/>
      <c r="H158" s="271">
        <f t="shared" si="8"/>
        <v>929.58999999999992</v>
      </c>
    </row>
    <row r="159" spans="1:8" ht="15.75">
      <c r="A159" s="9"/>
      <c r="B159" s="10"/>
      <c r="C159" s="11">
        <v>4170</v>
      </c>
      <c r="D159" s="12" t="s">
        <v>101</v>
      </c>
      <c r="E159" s="13">
        <f>66089-37296+20752+8201.63</f>
        <v>57746.63</v>
      </c>
      <c r="F159" s="13"/>
      <c r="G159" s="13"/>
      <c r="H159" s="271">
        <f t="shared" si="8"/>
        <v>57746.63</v>
      </c>
    </row>
    <row r="160" spans="1:8" ht="15.75">
      <c r="A160" s="9"/>
      <c r="B160" s="10"/>
      <c r="C160" s="11">
        <v>4210</v>
      </c>
      <c r="D160" s="12" t="s">
        <v>102</v>
      </c>
      <c r="E160" s="13">
        <f>5000+507.48</f>
        <v>5507.48</v>
      </c>
      <c r="F160" s="13"/>
      <c r="G160" s="13"/>
      <c r="H160" s="271">
        <f t="shared" si="8"/>
        <v>5507.48</v>
      </c>
    </row>
    <row r="161" spans="1:10" ht="15.75">
      <c r="A161" s="9"/>
      <c r="B161" s="10"/>
      <c r="C161" s="11">
        <v>4300</v>
      </c>
      <c r="D161" s="12" t="s">
        <v>93</v>
      </c>
      <c r="E161" s="13">
        <f>5000+2860+45146+11287-609-6735.68</f>
        <v>56948.32</v>
      </c>
      <c r="F161" s="13"/>
      <c r="G161" s="13"/>
      <c r="H161" s="271">
        <f t="shared" si="8"/>
        <v>56948.32</v>
      </c>
    </row>
    <row r="162" spans="1:10" ht="15.75">
      <c r="A162" s="9"/>
      <c r="B162" s="10"/>
      <c r="C162" s="11">
        <v>4410</v>
      </c>
      <c r="D162" s="12" t="s">
        <v>125</v>
      </c>
      <c r="E162" s="13">
        <f>2251+609-2860</f>
        <v>0</v>
      </c>
      <c r="F162" s="13"/>
      <c r="G162" s="13"/>
      <c r="H162" s="271">
        <f t="shared" si="8"/>
        <v>0</v>
      </c>
    </row>
    <row r="163" spans="1:10" ht="15.75">
      <c r="A163" s="68"/>
      <c r="B163" s="69">
        <v>75113</v>
      </c>
      <c r="C163" s="70"/>
      <c r="D163" s="71" t="s">
        <v>393</v>
      </c>
      <c r="E163" s="72">
        <f>SUM(E164:E170)</f>
        <v>124029</v>
      </c>
      <c r="F163" s="72">
        <f>SUM(F164:F170)</f>
        <v>0</v>
      </c>
      <c r="G163" s="72">
        <f>SUM(G164:G170)</f>
        <v>0</v>
      </c>
      <c r="H163" s="425">
        <f>SUM(H164:H170)</f>
        <v>124029</v>
      </c>
    </row>
    <row r="164" spans="1:10" ht="15.75">
      <c r="A164" s="68"/>
      <c r="B164" s="69"/>
      <c r="C164" s="11">
        <v>3030</v>
      </c>
      <c r="D164" s="12" t="s">
        <v>118</v>
      </c>
      <c r="E164" s="72">
        <f>77200</f>
        <v>77200</v>
      </c>
      <c r="F164" s="72"/>
      <c r="G164" s="72"/>
      <c r="H164" s="271">
        <f t="shared" ref="H164:H170" si="9">E164+F164-G164</f>
        <v>77200</v>
      </c>
    </row>
    <row r="165" spans="1:10" ht="15.75">
      <c r="A165" s="9"/>
      <c r="B165" s="10"/>
      <c r="C165" s="11">
        <v>4110</v>
      </c>
      <c r="D165" s="12" t="s">
        <v>99</v>
      </c>
      <c r="E165" s="13">
        <f>5673-217.14</f>
        <v>5455.86</v>
      </c>
      <c r="F165" s="13"/>
      <c r="G165" s="13"/>
      <c r="H165" s="271">
        <f t="shared" si="9"/>
        <v>5455.86</v>
      </c>
    </row>
    <row r="166" spans="1:10" ht="15.75">
      <c r="A166" s="9"/>
      <c r="B166" s="10"/>
      <c r="C166" s="11">
        <v>4120</v>
      </c>
      <c r="D166" s="12" t="s">
        <v>100</v>
      </c>
      <c r="E166" s="13">
        <f>821-178.48</f>
        <v>642.52</v>
      </c>
      <c r="F166" s="13"/>
      <c r="G166" s="13"/>
      <c r="H166" s="271">
        <f t="shared" si="9"/>
        <v>642.52</v>
      </c>
    </row>
    <row r="167" spans="1:10" ht="15.75">
      <c r="A167" s="9"/>
      <c r="B167" s="10"/>
      <c r="C167" s="11">
        <v>4170</v>
      </c>
      <c r="D167" s="12" t="s">
        <v>101</v>
      </c>
      <c r="E167" s="13">
        <f>33506+4569.53</f>
        <v>38075.53</v>
      </c>
      <c r="F167" s="13"/>
      <c r="G167" s="13"/>
      <c r="H167" s="271">
        <f t="shared" si="9"/>
        <v>38075.53</v>
      </c>
    </row>
    <row r="168" spans="1:10" ht="15.75">
      <c r="A168" s="9"/>
      <c r="B168" s="10"/>
      <c r="C168" s="11">
        <v>4210</v>
      </c>
      <c r="D168" s="12" t="s">
        <v>102</v>
      </c>
      <c r="E168" s="13">
        <f>3829-1187.41</f>
        <v>2641.59</v>
      </c>
      <c r="F168" s="13"/>
      <c r="G168" s="13"/>
      <c r="H168" s="271">
        <f t="shared" si="9"/>
        <v>2641.59</v>
      </c>
    </row>
    <row r="169" spans="1:10" ht="15.75">
      <c r="A169" s="9"/>
      <c r="B169" s="10"/>
      <c r="C169" s="11">
        <v>4300</v>
      </c>
      <c r="D169" s="12" t="s">
        <v>93</v>
      </c>
      <c r="E169" s="13">
        <f>3000-3000</f>
        <v>0</v>
      </c>
      <c r="F169" s="13"/>
      <c r="G169" s="13"/>
      <c r="H169" s="271">
        <f t="shared" si="9"/>
        <v>0</v>
      </c>
    </row>
    <row r="170" spans="1:10" ht="15.75">
      <c r="A170" s="9"/>
      <c r="B170" s="10"/>
      <c r="C170" s="11">
        <v>4710</v>
      </c>
      <c r="D170" s="12" t="s">
        <v>103</v>
      </c>
      <c r="E170" s="13">
        <v>13.5</v>
      </c>
      <c r="F170" s="13"/>
      <c r="G170" s="13"/>
      <c r="H170" s="271">
        <f t="shared" si="9"/>
        <v>13.5</v>
      </c>
    </row>
    <row r="171" spans="1:10" ht="15.75">
      <c r="A171" s="9">
        <v>754</v>
      </c>
      <c r="B171" s="10"/>
      <c r="C171" s="11"/>
      <c r="D171" s="12" t="s">
        <v>34</v>
      </c>
      <c r="E171" s="13">
        <f>E174+E181+E186+E202+E172</f>
        <v>3640276</v>
      </c>
      <c r="F171" s="13">
        <f>F174+F181+F186+F202+F172</f>
        <v>244587</v>
      </c>
      <c r="G171" s="13">
        <f>G174+G181+G186+G202+G172</f>
        <v>0</v>
      </c>
      <c r="H171" s="271">
        <f>H174+H181+H186+H202+H172</f>
        <v>3884863</v>
      </c>
      <c r="J171" s="23"/>
    </row>
    <row r="172" spans="1:10" ht="15.75">
      <c r="A172" s="9"/>
      <c r="B172" s="10">
        <v>75410</v>
      </c>
      <c r="C172" s="11"/>
      <c r="D172" s="12" t="s">
        <v>422</v>
      </c>
      <c r="E172" s="13">
        <f>E173</f>
        <v>39000</v>
      </c>
      <c r="F172" s="13">
        <f>F173</f>
        <v>0</v>
      </c>
      <c r="G172" s="13">
        <f>G173</f>
        <v>0</v>
      </c>
      <c r="H172" s="271">
        <f>H173</f>
        <v>39000</v>
      </c>
    </row>
    <row r="173" spans="1:10" ht="31.5">
      <c r="A173" s="9"/>
      <c r="B173" s="10"/>
      <c r="C173" s="70">
        <v>6170</v>
      </c>
      <c r="D173" s="71" t="s">
        <v>412</v>
      </c>
      <c r="E173" s="13">
        <v>39000</v>
      </c>
      <c r="F173" s="13"/>
      <c r="G173" s="13"/>
      <c r="H173" s="271">
        <f>E173+F173-G173</f>
        <v>39000</v>
      </c>
    </row>
    <row r="174" spans="1:10" ht="15.75">
      <c r="A174" s="9"/>
      <c r="B174" s="10">
        <v>75412</v>
      </c>
      <c r="C174" s="11"/>
      <c r="D174" s="12" t="s">
        <v>132</v>
      </c>
      <c r="E174" s="13">
        <f>SUM(E175:E180)</f>
        <v>360000</v>
      </c>
      <c r="F174" s="13">
        <f>SUM(F175:F180)</f>
        <v>219587</v>
      </c>
      <c r="G174" s="13">
        <f>SUM(G175:G180)</f>
        <v>0</v>
      </c>
      <c r="H174" s="271">
        <f>SUM(H175:H180)</f>
        <v>579587</v>
      </c>
    </row>
    <row r="175" spans="1:10" ht="15.75">
      <c r="A175" s="9"/>
      <c r="B175" s="10"/>
      <c r="C175" s="11">
        <v>3030</v>
      </c>
      <c r="D175" s="12" t="s">
        <v>118</v>
      </c>
      <c r="E175" s="13">
        <v>128000</v>
      </c>
      <c r="F175" s="13">
        <f>150000+4366</f>
        <v>154366</v>
      </c>
      <c r="G175" s="13"/>
      <c r="H175" s="271">
        <f t="shared" ref="H175:H180" si="10">E175+F175-G175</f>
        <v>282366</v>
      </c>
    </row>
    <row r="176" spans="1:10" ht="15.75">
      <c r="A176" s="9"/>
      <c r="B176" s="10"/>
      <c r="C176" s="11">
        <v>4170</v>
      </c>
      <c r="D176" s="12" t="s">
        <v>101</v>
      </c>
      <c r="E176" s="13">
        <v>20000</v>
      </c>
      <c r="F176" s="13"/>
      <c r="G176" s="13"/>
      <c r="H176" s="271">
        <f t="shared" si="10"/>
        <v>20000</v>
      </c>
    </row>
    <row r="177" spans="1:8" ht="15.75">
      <c r="A177" s="9"/>
      <c r="B177" s="10"/>
      <c r="C177" s="11">
        <v>4210</v>
      </c>
      <c r="D177" s="12" t="s">
        <v>102</v>
      </c>
      <c r="E177" s="13">
        <v>115000</v>
      </c>
      <c r="F177" s="13">
        <f>50000+15221</f>
        <v>65221</v>
      </c>
      <c r="G177" s="13"/>
      <c r="H177" s="271">
        <f t="shared" si="10"/>
        <v>180221</v>
      </c>
    </row>
    <row r="178" spans="1:8" ht="15.75">
      <c r="A178" s="9"/>
      <c r="B178" s="10"/>
      <c r="C178" s="11">
        <v>4300</v>
      </c>
      <c r="D178" s="12" t="s">
        <v>93</v>
      </c>
      <c r="E178" s="13">
        <v>83000</v>
      </c>
      <c r="F178" s="13"/>
      <c r="G178" s="13"/>
      <c r="H178" s="271">
        <f t="shared" si="10"/>
        <v>83000</v>
      </c>
    </row>
    <row r="179" spans="1:8" ht="15.75">
      <c r="A179" s="9"/>
      <c r="B179" s="10"/>
      <c r="C179" s="11">
        <v>4360</v>
      </c>
      <c r="D179" s="12" t="s">
        <v>124</v>
      </c>
      <c r="E179" s="13">
        <v>7000</v>
      </c>
      <c r="F179" s="13"/>
      <c r="G179" s="13"/>
      <c r="H179" s="271">
        <f t="shared" si="10"/>
        <v>7000</v>
      </c>
    </row>
    <row r="180" spans="1:8" ht="15.75">
      <c r="A180" s="9"/>
      <c r="B180" s="10"/>
      <c r="C180" s="11">
        <v>4430</v>
      </c>
      <c r="D180" s="12" t="s">
        <v>95</v>
      </c>
      <c r="E180" s="13">
        <v>7000</v>
      </c>
      <c r="F180" s="13"/>
      <c r="G180" s="13"/>
      <c r="H180" s="271">
        <f t="shared" si="10"/>
        <v>7000</v>
      </c>
    </row>
    <row r="181" spans="1:8" ht="15.75">
      <c r="A181" s="9"/>
      <c r="B181" s="10">
        <v>75414</v>
      </c>
      <c r="C181" s="11"/>
      <c r="D181" s="12" t="s">
        <v>133</v>
      </c>
      <c r="E181" s="13">
        <f>SUM(E182:E185)</f>
        <v>55000</v>
      </c>
      <c r="F181" s="13">
        <f>SUM(F182:F185)</f>
        <v>0</v>
      </c>
      <c r="G181" s="13">
        <f>SUM(G182:G185)</f>
        <v>0</v>
      </c>
      <c r="H181" s="271">
        <f>SUM(H182:H185)</f>
        <v>55000</v>
      </c>
    </row>
    <row r="182" spans="1:8" ht="15.75">
      <c r="A182" s="9"/>
      <c r="B182" s="10"/>
      <c r="C182" s="11">
        <v>4170</v>
      </c>
      <c r="D182" s="12" t="s">
        <v>101</v>
      </c>
      <c r="E182" s="13">
        <v>5000</v>
      </c>
      <c r="F182" s="13"/>
      <c r="G182" s="13"/>
      <c r="H182" s="271">
        <f>E182+F182-G182</f>
        <v>5000</v>
      </c>
    </row>
    <row r="183" spans="1:8" ht="15.75">
      <c r="A183" s="9"/>
      <c r="B183" s="10"/>
      <c r="C183" s="11">
        <v>4210</v>
      </c>
      <c r="D183" s="12" t="s">
        <v>102</v>
      </c>
      <c r="E183" s="13">
        <v>5000</v>
      </c>
      <c r="F183" s="13"/>
      <c r="G183" s="13"/>
      <c r="H183" s="271">
        <f>E183+F183-G183</f>
        <v>5000</v>
      </c>
    </row>
    <row r="184" spans="1:8" ht="15.75">
      <c r="A184" s="9"/>
      <c r="B184" s="10"/>
      <c r="C184" s="11">
        <v>4300</v>
      </c>
      <c r="D184" s="12" t="s">
        <v>93</v>
      </c>
      <c r="E184" s="13">
        <v>25000</v>
      </c>
      <c r="F184" s="13"/>
      <c r="G184" s="13"/>
      <c r="H184" s="271">
        <f>E184+F184-G184</f>
        <v>25000</v>
      </c>
    </row>
    <row r="185" spans="1:8" ht="15.75">
      <c r="A185" s="9"/>
      <c r="B185" s="10"/>
      <c r="C185" s="11">
        <v>6060</v>
      </c>
      <c r="D185" s="12" t="s">
        <v>112</v>
      </c>
      <c r="E185" s="13">
        <v>20000</v>
      </c>
      <c r="F185" s="13"/>
      <c r="G185" s="13"/>
      <c r="H185" s="271">
        <f>E185+F185-G185</f>
        <v>20000</v>
      </c>
    </row>
    <row r="186" spans="1:8" ht="15.75">
      <c r="A186" s="62"/>
      <c r="B186" s="10">
        <v>75416</v>
      </c>
      <c r="C186" s="11"/>
      <c r="D186" s="12" t="s">
        <v>35</v>
      </c>
      <c r="E186" s="13">
        <f>SUM(E187:E201)</f>
        <v>1926276</v>
      </c>
      <c r="F186" s="13">
        <f>SUM(F187:F201)</f>
        <v>25000</v>
      </c>
      <c r="G186" s="13">
        <f>SUM(G187:G201)</f>
        <v>0</v>
      </c>
      <c r="H186" s="271">
        <f>SUM(H187:H201)</f>
        <v>1951276</v>
      </c>
    </row>
    <row r="187" spans="1:8" ht="15.75">
      <c r="A187" s="9"/>
      <c r="B187" s="10"/>
      <c r="C187" s="11">
        <v>3020</v>
      </c>
      <c r="D187" s="12" t="s">
        <v>119</v>
      </c>
      <c r="E187" s="13">
        <f>80000-10000</f>
        <v>70000</v>
      </c>
      <c r="F187" s="13"/>
      <c r="G187" s="13"/>
      <c r="H187" s="271">
        <f>E187+F187-G187</f>
        <v>70000</v>
      </c>
    </row>
    <row r="188" spans="1:8" ht="15.75">
      <c r="A188" s="62"/>
      <c r="B188" s="10"/>
      <c r="C188" s="11">
        <v>4010</v>
      </c>
      <c r="D188" s="12" t="s">
        <v>116</v>
      </c>
      <c r="E188" s="13">
        <f>1070118+50000+61000</f>
        <v>1181118</v>
      </c>
      <c r="F188" s="13">
        <v>20000</v>
      </c>
      <c r="G188" s="13"/>
      <c r="H188" s="271">
        <f t="shared" ref="H188:H201" si="11">E188+F188-G188</f>
        <v>1201118</v>
      </c>
    </row>
    <row r="189" spans="1:8" ht="15.75">
      <c r="A189" s="62"/>
      <c r="B189" s="10"/>
      <c r="C189" s="11">
        <v>4040</v>
      </c>
      <c r="D189" s="12" t="s">
        <v>120</v>
      </c>
      <c r="E189" s="13">
        <f>79866-7000</f>
        <v>72866</v>
      </c>
      <c r="F189" s="13"/>
      <c r="G189" s="13"/>
      <c r="H189" s="271">
        <f t="shared" si="11"/>
        <v>72866</v>
      </c>
    </row>
    <row r="190" spans="1:8" ht="15.75">
      <c r="A190" s="62"/>
      <c r="B190" s="10"/>
      <c r="C190" s="11">
        <v>4110</v>
      </c>
      <c r="D190" s="12" t="s">
        <v>99</v>
      </c>
      <c r="E190" s="13">
        <f>175246+30000+2000</f>
        <v>207246</v>
      </c>
      <c r="F190" s="13">
        <v>5000</v>
      </c>
      <c r="G190" s="13"/>
      <c r="H190" s="271">
        <f t="shared" si="11"/>
        <v>212246</v>
      </c>
    </row>
    <row r="191" spans="1:8" ht="15.75">
      <c r="A191" s="62"/>
      <c r="B191" s="10"/>
      <c r="C191" s="11">
        <v>4120</v>
      </c>
      <c r="D191" s="12" t="s">
        <v>100</v>
      </c>
      <c r="E191" s="13">
        <f>24977+10000</f>
        <v>34977</v>
      </c>
      <c r="F191" s="13"/>
      <c r="G191" s="13"/>
      <c r="H191" s="271">
        <f t="shared" si="11"/>
        <v>34977</v>
      </c>
    </row>
    <row r="192" spans="1:8" ht="15.75">
      <c r="A192" s="9"/>
      <c r="B192" s="10"/>
      <c r="C192" s="11">
        <v>4210</v>
      </c>
      <c r="D192" s="12" t="s">
        <v>102</v>
      </c>
      <c r="E192" s="13">
        <v>50000</v>
      </c>
      <c r="F192" s="13"/>
      <c r="G192" s="13"/>
      <c r="H192" s="271">
        <f t="shared" si="11"/>
        <v>50000</v>
      </c>
    </row>
    <row r="193" spans="1:8" ht="15.75">
      <c r="A193" s="9"/>
      <c r="B193" s="10"/>
      <c r="C193" s="11">
        <v>4280</v>
      </c>
      <c r="D193" s="12" t="s">
        <v>123</v>
      </c>
      <c r="E193" s="13">
        <v>5000</v>
      </c>
      <c r="F193" s="13"/>
      <c r="G193" s="13"/>
      <c r="H193" s="271">
        <f t="shared" si="11"/>
        <v>5000</v>
      </c>
    </row>
    <row r="194" spans="1:8" ht="15.75">
      <c r="A194" s="9"/>
      <c r="B194" s="10"/>
      <c r="C194" s="11">
        <v>4300</v>
      </c>
      <c r="D194" s="12" t="s">
        <v>93</v>
      </c>
      <c r="E194" s="13">
        <v>35000</v>
      </c>
      <c r="F194" s="13"/>
      <c r="G194" s="13"/>
      <c r="H194" s="271">
        <f t="shared" si="11"/>
        <v>35000</v>
      </c>
    </row>
    <row r="195" spans="1:8" ht="15.75">
      <c r="A195" s="9"/>
      <c r="B195" s="10"/>
      <c r="C195" s="11">
        <v>4360</v>
      </c>
      <c r="D195" s="12" t="s">
        <v>124</v>
      </c>
      <c r="E195" s="13">
        <v>7000</v>
      </c>
      <c r="F195" s="13"/>
      <c r="G195" s="13"/>
      <c r="H195" s="271">
        <f t="shared" si="11"/>
        <v>7000</v>
      </c>
    </row>
    <row r="196" spans="1:8" ht="15.75">
      <c r="A196" s="9"/>
      <c r="B196" s="10"/>
      <c r="C196" s="11">
        <v>4410</v>
      </c>
      <c r="D196" s="12" t="s">
        <v>125</v>
      </c>
      <c r="E196" s="13">
        <f>12000-2000</f>
        <v>10000</v>
      </c>
      <c r="F196" s="13"/>
      <c r="G196" s="13"/>
      <c r="H196" s="271">
        <f t="shared" si="11"/>
        <v>10000</v>
      </c>
    </row>
    <row r="197" spans="1:8" ht="15.75">
      <c r="A197" s="9"/>
      <c r="B197" s="10"/>
      <c r="C197" s="11">
        <v>4430</v>
      </c>
      <c r="D197" s="12" t="s">
        <v>95</v>
      </c>
      <c r="E197" s="13">
        <v>12000</v>
      </c>
      <c r="F197" s="13"/>
      <c r="G197" s="13"/>
      <c r="H197" s="271">
        <f t="shared" si="11"/>
        <v>12000</v>
      </c>
    </row>
    <row r="198" spans="1:8" ht="15.75">
      <c r="A198" s="9"/>
      <c r="B198" s="10"/>
      <c r="C198" s="11">
        <v>4440</v>
      </c>
      <c r="D198" s="12" t="s">
        <v>127</v>
      </c>
      <c r="E198" s="13">
        <f>18000+3755+314</f>
        <v>22069</v>
      </c>
      <c r="F198" s="13"/>
      <c r="G198" s="13"/>
      <c r="H198" s="271">
        <f t="shared" si="11"/>
        <v>22069</v>
      </c>
    </row>
    <row r="199" spans="1:8" ht="30.75" customHeight="1">
      <c r="A199" s="9"/>
      <c r="B199" s="10"/>
      <c r="C199" s="11">
        <v>4700</v>
      </c>
      <c r="D199" s="12" t="s">
        <v>128</v>
      </c>
      <c r="E199" s="13">
        <f>25000-5500</f>
        <v>19500</v>
      </c>
      <c r="F199" s="13"/>
      <c r="G199" s="13"/>
      <c r="H199" s="271">
        <f t="shared" si="11"/>
        <v>19500</v>
      </c>
    </row>
    <row r="200" spans="1:8" ht="15.75">
      <c r="A200" s="9"/>
      <c r="B200" s="10"/>
      <c r="C200" s="11">
        <v>4710</v>
      </c>
      <c r="D200" s="12" t="s">
        <v>103</v>
      </c>
      <c r="E200" s="13">
        <f>5000+1000</f>
        <v>6000</v>
      </c>
      <c r="F200" s="13"/>
      <c r="G200" s="13"/>
      <c r="H200" s="271">
        <f t="shared" si="11"/>
        <v>6000</v>
      </c>
    </row>
    <row r="201" spans="1:8" ht="15.75">
      <c r="A201" s="9"/>
      <c r="B201" s="10"/>
      <c r="C201" s="11">
        <v>6060</v>
      </c>
      <c r="D201" s="12" t="s">
        <v>112</v>
      </c>
      <c r="E201" s="13">
        <f>177000+11000+5500</f>
        <v>193500</v>
      </c>
      <c r="F201" s="13"/>
      <c r="G201" s="13"/>
      <c r="H201" s="271">
        <f t="shared" si="11"/>
        <v>193500</v>
      </c>
    </row>
    <row r="202" spans="1:8" ht="15.75">
      <c r="A202" s="9"/>
      <c r="B202" s="10">
        <v>75495</v>
      </c>
      <c r="C202" s="11"/>
      <c r="D202" s="12" t="s">
        <v>8</v>
      </c>
      <c r="E202" s="13">
        <f>SUM(E203:E206)</f>
        <v>1260000</v>
      </c>
      <c r="F202" s="13">
        <f>SUM(F203:F206)</f>
        <v>0</v>
      </c>
      <c r="G202" s="13">
        <f>SUM(G203:G206)</f>
        <v>0</v>
      </c>
      <c r="H202" s="271">
        <f>SUM(H203:H206)</f>
        <v>1260000</v>
      </c>
    </row>
    <row r="203" spans="1:8" ht="15.75">
      <c r="A203" s="9"/>
      <c r="B203" s="10"/>
      <c r="C203" s="11">
        <v>4210</v>
      </c>
      <c r="D203" s="12" t="s">
        <v>102</v>
      </c>
      <c r="E203" s="13">
        <v>20000</v>
      </c>
      <c r="F203" s="13"/>
      <c r="G203" s="13"/>
      <c r="H203" s="271">
        <f>E203+F203-G203</f>
        <v>20000</v>
      </c>
    </row>
    <row r="204" spans="1:8" ht="15.75">
      <c r="A204" s="9"/>
      <c r="B204" s="10"/>
      <c r="C204" s="11">
        <v>4260</v>
      </c>
      <c r="D204" s="12" t="s">
        <v>111</v>
      </c>
      <c r="E204" s="13">
        <v>30000</v>
      </c>
      <c r="F204" s="13"/>
      <c r="G204" s="13"/>
      <c r="H204" s="271">
        <f>E204+F204-G204</f>
        <v>30000</v>
      </c>
    </row>
    <row r="205" spans="1:8" ht="15.75">
      <c r="A205" s="9"/>
      <c r="B205" s="10"/>
      <c r="C205" s="11">
        <v>4300</v>
      </c>
      <c r="D205" s="12" t="s">
        <v>93</v>
      </c>
      <c r="E205" s="13">
        <f>200000+50000</f>
        <v>250000</v>
      </c>
      <c r="F205" s="13"/>
      <c r="G205" s="13"/>
      <c r="H205" s="271">
        <f>E205+F205-G205</f>
        <v>250000</v>
      </c>
    </row>
    <row r="206" spans="1:8" ht="15.75">
      <c r="A206" s="9"/>
      <c r="B206" s="10"/>
      <c r="C206" s="11">
        <v>6050</v>
      </c>
      <c r="D206" s="12" t="s">
        <v>98</v>
      </c>
      <c r="E206" s="13">
        <f>610000+350000</f>
        <v>960000</v>
      </c>
      <c r="F206" s="13"/>
      <c r="G206" s="13"/>
      <c r="H206" s="271">
        <f>E206+F206-G206</f>
        <v>960000</v>
      </c>
    </row>
    <row r="207" spans="1:8" ht="15.75">
      <c r="A207" s="9">
        <v>757</v>
      </c>
      <c r="B207" s="10"/>
      <c r="C207" s="11"/>
      <c r="D207" s="12" t="s">
        <v>134</v>
      </c>
      <c r="E207" s="13">
        <f>E208</f>
        <v>2336732</v>
      </c>
      <c r="F207" s="13">
        <f>F208</f>
        <v>95000</v>
      </c>
      <c r="G207" s="13">
        <f>G208</f>
        <v>0</v>
      </c>
      <c r="H207" s="271">
        <f>H208</f>
        <v>2431732</v>
      </c>
    </row>
    <row r="208" spans="1:8" ht="47.25" customHeight="1">
      <c r="A208" s="9"/>
      <c r="B208" s="10">
        <v>75702</v>
      </c>
      <c r="C208" s="11"/>
      <c r="D208" s="12" t="s">
        <v>135</v>
      </c>
      <c r="E208" s="13">
        <f>SUM(E209:E210)</f>
        <v>2336732</v>
      </c>
      <c r="F208" s="13">
        <f>SUM(F209:F210)</f>
        <v>95000</v>
      </c>
      <c r="G208" s="13">
        <f>SUM(G209:G210)</f>
        <v>0</v>
      </c>
      <c r="H208" s="271">
        <f>SUM(H209:H210)</f>
        <v>2431732</v>
      </c>
    </row>
    <row r="209" spans="1:10" ht="31.5">
      <c r="A209" s="298"/>
      <c r="B209" s="10"/>
      <c r="C209" s="11">
        <v>8090</v>
      </c>
      <c r="D209" s="12" t="s">
        <v>136</v>
      </c>
      <c r="E209" s="13">
        <v>20000</v>
      </c>
      <c r="F209" s="13"/>
      <c r="G209" s="13"/>
      <c r="H209" s="271">
        <f>E209+F209-G209</f>
        <v>20000</v>
      </c>
    </row>
    <row r="210" spans="1:10" ht="47.25">
      <c r="A210" s="9"/>
      <c r="B210" s="10"/>
      <c r="C210" s="11">
        <v>8110</v>
      </c>
      <c r="D210" s="12" t="s">
        <v>137</v>
      </c>
      <c r="E210" s="13">
        <f>1916732+400000</f>
        <v>2316732</v>
      </c>
      <c r="F210" s="13">
        <f>100000-5000</f>
        <v>95000</v>
      </c>
      <c r="G210" s="13"/>
      <c r="H210" s="271">
        <f>E210+F210-G210</f>
        <v>2411732</v>
      </c>
    </row>
    <row r="211" spans="1:10" ht="15.75">
      <c r="A211" s="9">
        <v>758</v>
      </c>
      <c r="B211" s="10"/>
      <c r="C211" s="11"/>
      <c r="D211" s="12" t="s">
        <v>54</v>
      </c>
      <c r="E211" s="13">
        <f>E212+E214</f>
        <v>5385881</v>
      </c>
      <c r="F211" s="13">
        <f>F212+F214</f>
        <v>0</v>
      </c>
      <c r="G211" s="13">
        <f>G212+G214</f>
        <v>0</v>
      </c>
      <c r="H211" s="271">
        <f>H212+H214</f>
        <v>5385881</v>
      </c>
    </row>
    <row r="212" spans="1:10" ht="15.75">
      <c r="A212" s="9"/>
      <c r="B212" s="10">
        <v>75818</v>
      </c>
      <c r="C212" s="11"/>
      <c r="D212" s="12" t="s">
        <v>138</v>
      </c>
      <c r="E212" s="13">
        <f>E213</f>
        <v>829570</v>
      </c>
      <c r="F212" s="13">
        <f>F213</f>
        <v>0</v>
      </c>
      <c r="G212" s="13">
        <f>G213</f>
        <v>0</v>
      </c>
      <c r="H212" s="271">
        <f>H213</f>
        <v>829570</v>
      </c>
    </row>
    <row r="213" spans="1:10" ht="15.75">
      <c r="A213" s="9"/>
      <c r="B213" s="10"/>
      <c r="C213" s="11">
        <v>4810</v>
      </c>
      <c r="D213" s="12" t="s">
        <v>139</v>
      </c>
      <c r="E213" s="13">
        <f>530000+60000+253475+1413+579792-5110-540000-35000-6000-9000</f>
        <v>829570</v>
      </c>
      <c r="F213" s="13"/>
      <c r="G213" s="13"/>
      <c r="H213" s="271">
        <f>E213+F213-G213</f>
        <v>829570</v>
      </c>
    </row>
    <row r="214" spans="1:10" ht="15.75">
      <c r="A214" s="9"/>
      <c r="B214" s="10">
        <v>75831</v>
      </c>
      <c r="C214" s="11"/>
      <c r="D214" s="12" t="s">
        <v>140</v>
      </c>
      <c r="E214" s="13">
        <f>E215</f>
        <v>4556311</v>
      </c>
      <c r="F214" s="13">
        <f>F215</f>
        <v>0</v>
      </c>
      <c r="G214" s="13">
        <f>G215</f>
        <v>0</v>
      </c>
      <c r="H214" s="271">
        <f>H215</f>
        <v>4556311</v>
      </c>
    </row>
    <row r="215" spans="1:10" ht="15.75">
      <c r="A215" s="9"/>
      <c r="B215" s="10"/>
      <c r="C215" s="11">
        <v>2930</v>
      </c>
      <c r="D215" s="12" t="s">
        <v>141</v>
      </c>
      <c r="E215" s="13">
        <v>4556311</v>
      </c>
      <c r="F215" s="13"/>
      <c r="G215" s="13"/>
      <c r="H215" s="271">
        <f>E215+F215-G215</f>
        <v>4556311</v>
      </c>
    </row>
    <row r="216" spans="1:10" ht="15.75">
      <c r="A216" s="68">
        <v>801</v>
      </c>
      <c r="B216" s="69"/>
      <c r="C216" s="70"/>
      <c r="D216" s="71" t="s">
        <v>58</v>
      </c>
      <c r="E216" s="72">
        <f>E217+E247+E259+E289+E292+E301+E303+E305+E308+E332+E311+E320+E328</f>
        <v>152638462.83000001</v>
      </c>
      <c r="F216" s="72">
        <f>F217+F247+F259+F289+F292+F301+F303+F305+F308+F332+F311+F320+F328</f>
        <v>1462846.43</v>
      </c>
      <c r="G216" s="72">
        <f>G217+G247+G259+G289+G292+G301+G303+G305+G308+G332+G311+G320+G328</f>
        <v>1618085.7499999998</v>
      </c>
      <c r="H216" s="425">
        <f>H217+H247+H259+H289+H292+H301+H303+H305+H308+H332+H311+H320+H328</f>
        <v>152483223.51000002</v>
      </c>
      <c r="J216" s="23"/>
    </row>
    <row r="217" spans="1:10" ht="15.75">
      <c r="A217" s="68"/>
      <c r="B217" s="69">
        <v>80101</v>
      </c>
      <c r="C217" s="70"/>
      <c r="D217" s="71" t="s">
        <v>59</v>
      </c>
      <c r="E217" s="72">
        <f>SUM(E218:E246)</f>
        <v>69411457.799999997</v>
      </c>
      <c r="F217" s="72">
        <f t="shared" ref="F217:G217" si="12">SUM(F218:F246)</f>
        <v>701053.17999999993</v>
      </c>
      <c r="G217" s="72">
        <f t="shared" si="12"/>
        <v>1169177.5699999998</v>
      </c>
      <c r="H217" s="270">
        <f>SUM(H218:H246)</f>
        <v>68943333.409999996</v>
      </c>
      <c r="J217" s="23"/>
    </row>
    <row r="218" spans="1:10" ht="31.5">
      <c r="A218" s="68"/>
      <c r="B218" s="69"/>
      <c r="C218" s="70">
        <v>2540</v>
      </c>
      <c r="D218" s="71" t="s">
        <v>142</v>
      </c>
      <c r="E218" s="72">
        <f>1200000+900000+220000+150000</f>
        <v>2470000</v>
      </c>
      <c r="F218" s="72"/>
      <c r="G218" s="72"/>
      <c r="H218" s="270">
        <f>E218+F218-G218</f>
        <v>2470000</v>
      </c>
    </row>
    <row r="219" spans="1:10" ht="47.25">
      <c r="A219" s="68"/>
      <c r="B219" s="69"/>
      <c r="C219" s="11">
        <v>2710</v>
      </c>
      <c r="D219" s="12" t="s">
        <v>106</v>
      </c>
      <c r="E219" s="13">
        <v>129000</v>
      </c>
      <c r="F219" s="13"/>
      <c r="G219" s="13"/>
      <c r="H219" s="270">
        <f t="shared" ref="H219:H246" si="13">E219+F219-G219</f>
        <v>129000</v>
      </c>
    </row>
    <row r="220" spans="1:10" ht="15.75">
      <c r="A220" s="68"/>
      <c r="B220" s="69"/>
      <c r="C220" s="70">
        <v>3020</v>
      </c>
      <c r="D220" s="71" t="s">
        <v>119</v>
      </c>
      <c r="E220" s="72">
        <f>2019000-153710+144000-48100+435258.48-20000-75850+15000+16000-37000</f>
        <v>2294598.48</v>
      </c>
      <c r="F220" s="72">
        <v>48500</v>
      </c>
      <c r="G220" s="72"/>
      <c r="H220" s="270">
        <f t="shared" si="13"/>
        <v>2343098.48</v>
      </c>
    </row>
    <row r="221" spans="1:10" ht="15.75">
      <c r="A221" s="68"/>
      <c r="B221" s="69"/>
      <c r="C221" s="70">
        <v>4010</v>
      </c>
      <c r="D221" s="71" t="s">
        <v>116</v>
      </c>
      <c r="E221" s="72">
        <f>4871000-24000+3480000-150000-1196700-866000</f>
        <v>6114300</v>
      </c>
      <c r="F221" s="72">
        <v>15000</v>
      </c>
      <c r="G221" s="72">
        <v>436000</v>
      </c>
      <c r="H221" s="270">
        <f t="shared" si="13"/>
        <v>5693300</v>
      </c>
    </row>
    <row r="222" spans="1:10" ht="15.75">
      <c r="A222" s="68"/>
      <c r="B222" s="69"/>
      <c r="C222" s="70">
        <v>4040</v>
      </c>
      <c r="D222" s="71" t="s">
        <v>120</v>
      </c>
      <c r="E222" s="72">
        <f>327000+7000</f>
        <v>334000</v>
      </c>
      <c r="F222" s="72"/>
      <c r="G222" s="72"/>
      <c r="H222" s="270">
        <f t="shared" si="13"/>
        <v>334000</v>
      </c>
    </row>
    <row r="223" spans="1:10" ht="15.75">
      <c r="A223" s="68"/>
      <c r="B223" s="69"/>
      <c r="C223" s="70">
        <v>4110</v>
      </c>
      <c r="D223" s="71" t="s">
        <v>99</v>
      </c>
      <c r="E223" s="72">
        <f>6068000-527865+1032000+330000-210600+355000-40000</f>
        <v>7006535</v>
      </c>
      <c r="F223" s="72">
        <v>68000</v>
      </c>
      <c r="G223" s="72"/>
      <c r="H223" s="270">
        <f t="shared" si="13"/>
        <v>7074535</v>
      </c>
    </row>
    <row r="224" spans="1:10" ht="15.75">
      <c r="A224" s="68"/>
      <c r="B224" s="69"/>
      <c r="C224" s="70">
        <v>4120</v>
      </c>
      <c r="D224" s="71" t="s">
        <v>100</v>
      </c>
      <c r="E224" s="72">
        <f>821000-69695+84000-24700+27000+3000</f>
        <v>840605</v>
      </c>
      <c r="F224" s="72">
        <v>7000</v>
      </c>
      <c r="G224" s="72">
        <v>18000</v>
      </c>
      <c r="H224" s="270">
        <f t="shared" si="13"/>
        <v>829605</v>
      </c>
    </row>
    <row r="225" spans="1:8" ht="29.25" customHeight="1">
      <c r="A225" s="68"/>
      <c r="B225" s="69"/>
      <c r="C225" s="70">
        <v>4140</v>
      </c>
      <c r="D225" s="71" t="s">
        <v>121</v>
      </c>
      <c r="E225" s="72">
        <v>17000</v>
      </c>
      <c r="F225" s="72"/>
      <c r="G225" s="72"/>
      <c r="H225" s="270">
        <f t="shared" si="13"/>
        <v>17000</v>
      </c>
    </row>
    <row r="226" spans="1:8" ht="15.75">
      <c r="A226" s="68"/>
      <c r="B226" s="69"/>
      <c r="C226" s="70">
        <v>4170</v>
      </c>
      <c r="D226" s="71" t="s">
        <v>101</v>
      </c>
      <c r="E226" s="72">
        <f>26000+6000</f>
        <v>32000</v>
      </c>
      <c r="F226" s="72"/>
      <c r="G226" s="72">
        <v>4000</v>
      </c>
      <c r="H226" s="270">
        <f t="shared" si="13"/>
        <v>28000</v>
      </c>
    </row>
    <row r="227" spans="1:8" ht="15.75">
      <c r="A227" s="68"/>
      <c r="B227" s="69"/>
      <c r="C227" s="70">
        <v>4210</v>
      </c>
      <c r="D227" s="71" t="s">
        <v>102</v>
      </c>
      <c r="E227" s="72">
        <f>575000-12000-8000-5000+1599-2500+30000</f>
        <v>579099</v>
      </c>
      <c r="F227" s="72">
        <f>101284.42+1358</f>
        <v>102642.42</v>
      </c>
      <c r="G227" s="72"/>
      <c r="H227" s="270">
        <f t="shared" si="13"/>
        <v>681741.42</v>
      </c>
    </row>
    <row r="228" spans="1:8" ht="15.75">
      <c r="A228" s="68"/>
      <c r="B228" s="69"/>
      <c r="C228" s="70">
        <v>4240</v>
      </c>
      <c r="D228" s="71" t="s">
        <v>145</v>
      </c>
      <c r="E228" s="72">
        <f>172000-11000-200-10000+35000-1500-2500</f>
        <v>181800</v>
      </c>
      <c r="F228" s="72">
        <v>40000</v>
      </c>
      <c r="G228" s="72">
        <v>14000</v>
      </c>
      <c r="H228" s="270">
        <f t="shared" si="13"/>
        <v>207800</v>
      </c>
    </row>
    <row r="229" spans="1:8" ht="15.75">
      <c r="A229" s="68"/>
      <c r="B229" s="69"/>
      <c r="C229" s="70">
        <v>4260</v>
      </c>
      <c r="D229" s="71" t="s">
        <v>111</v>
      </c>
      <c r="E229" s="72">
        <f>2640000-305500</f>
        <v>2334500</v>
      </c>
      <c r="F229" s="72">
        <v>20000</v>
      </c>
      <c r="G229" s="72">
        <v>113400</v>
      </c>
      <c r="H229" s="270">
        <f t="shared" si="13"/>
        <v>2241100</v>
      </c>
    </row>
    <row r="230" spans="1:8" ht="15.75">
      <c r="A230" s="68"/>
      <c r="B230" s="69"/>
      <c r="C230" s="70">
        <v>4270</v>
      </c>
      <c r="D230" s="71" t="s">
        <v>110</v>
      </c>
      <c r="E230" s="72">
        <f>117000+15000</f>
        <v>132000</v>
      </c>
      <c r="F230" s="72">
        <v>25000</v>
      </c>
      <c r="G230" s="72"/>
      <c r="H230" s="270">
        <f t="shared" si="13"/>
        <v>157000</v>
      </c>
    </row>
    <row r="231" spans="1:8" ht="15.75">
      <c r="A231" s="68"/>
      <c r="B231" s="69"/>
      <c r="C231" s="70">
        <v>4280</v>
      </c>
      <c r="D231" s="71" t="s">
        <v>123</v>
      </c>
      <c r="E231" s="72">
        <f>65000+9000+1500</f>
        <v>75500</v>
      </c>
      <c r="F231" s="72">
        <v>4000</v>
      </c>
      <c r="G231" s="72"/>
      <c r="H231" s="270">
        <f t="shared" si="13"/>
        <v>79500</v>
      </c>
    </row>
    <row r="232" spans="1:8" ht="15.75">
      <c r="A232" s="68"/>
      <c r="B232" s="69"/>
      <c r="C232" s="70">
        <v>4300</v>
      </c>
      <c r="D232" s="71" t="s">
        <v>93</v>
      </c>
      <c r="E232" s="72">
        <f>1435000+5524.32-3000+35443+2500+156045-1599+172000</f>
        <v>1801913.32</v>
      </c>
      <c r="F232" s="72">
        <f>31648.68</f>
        <v>31648.68</v>
      </c>
      <c r="G232" s="72">
        <v>19604.349999999999</v>
      </c>
      <c r="H232" s="270">
        <f t="shared" si="13"/>
        <v>1813957.65</v>
      </c>
    </row>
    <row r="233" spans="1:8" ht="15.75">
      <c r="A233" s="68"/>
      <c r="B233" s="69"/>
      <c r="C233" s="70">
        <v>4360</v>
      </c>
      <c r="D233" s="71" t="s">
        <v>124</v>
      </c>
      <c r="E233" s="72">
        <v>61000</v>
      </c>
      <c r="F233" s="72">
        <v>1500</v>
      </c>
      <c r="G233" s="72"/>
      <c r="H233" s="270">
        <f t="shared" si="13"/>
        <v>62500</v>
      </c>
    </row>
    <row r="234" spans="1:8" ht="15.75">
      <c r="A234" s="68"/>
      <c r="B234" s="69"/>
      <c r="C234" s="70">
        <v>4410</v>
      </c>
      <c r="D234" s="71" t="s">
        <v>125</v>
      </c>
      <c r="E234" s="72">
        <v>23500</v>
      </c>
      <c r="F234" s="72"/>
      <c r="G234" s="72">
        <v>1500</v>
      </c>
      <c r="H234" s="270">
        <f t="shared" si="13"/>
        <v>22000</v>
      </c>
    </row>
    <row r="235" spans="1:8" ht="15.75">
      <c r="A235" s="68"/>
      <c r="B235" s="69"/>
      <c r="C235" s="70">
        <v>4420</v>
      </c>
      <c r="D235" s="71" t="s">
        <v>126</v>
      </c>
      <c r="E235" s="72">
        <f>4000+3000-1000</f>
        <v>6000</v>
      </c>
      <c r="F235" s="72"/>
      <c r="G235" s="72"/>
      <c r="H235" s="270">
        <f t="shared" si="13"/>
        <v>6000</v>
      </c>
    </row>
    <row r="236" spans="1:8" ht="15.75">
      <c r="A236" s="68"/>
      <c r="B236" s="69"/>
      <c r="C236" s="70">
        <v>4430</v>
      </c>
      <c r="D236" s="71" t="s">
        <v>95</v>
      </c>
      <c r="E236" s="72">
        <f>119000+8000</f>
        <v>127000</v>
      </c>
      <c r="F236" s="72">
        <v>3000</v>
      </c>
      <c r="G236" s="72"/>
      <c r="H236" s="270">
        <f t="shared" si="13"/>
        <v>130000</v>
      </c>
    </row>
    <row r="237" spans="1:8" ht="15.75">
      <c r="A237" s="68"/>
      <c r="B237" s="69"/>
      <c r="C237" s="70">
        <v>4440</v>
      </c>
      <c r="D237" s="71" t="s">
        <v>127</v>
      </c>
      <c r="E237" s="72">
        <f>1835874+377439</f>
        <v>2213313</v>
      </c>
      <c r="F237" s="72">
        <v>42962.080000000002</v>
      </c>
      <c r="G237" s="72">
        <v>16331</v>
      </c>
      <c r="H237" s="270">
        <f t="shared" si="13"/>
        <v>2239944.08</v>
      </c>
    </row>
    <row r="238" spans="1:8" ht="15.75">
      <c r="A238" s="68"/>
      <c r="B238" s="69"/>
      <c r="C238" s="70">
        <v>4580</v>
      </c>
      <c r="D238" s="71" t="s">
        <v>347</v>
      </c>
      <c r="E238" s="72">
        <v>200</v>
      </c>
      <c r="F238" s="72"/>
      <c r="G238" s="72"/>
      <c r="H238" s="270">
        <f t="shared" si="13"/>
        <v>200</v>
      </c>
    </row>
    <row r="239" spans="1:8" ht="31.5">
      <c r="A239" s="68"/>
      <c r="B239" s="69"/>
      <c r="C239" s="70">
        <v>4700</v>
      </c>
      <c r="D239" s="71" t="s">
        <v>128</v>
      </c>
      <c r="E239" s="72">
        <f>29000+12500</f>
        <v>41500</v>
      </c>
      <c r="F239" s="72"/>
      <c r="G239" s="72">
        <v>4000</v>
      </c>
      <c r="H239" s="270">
        <f t="shared" si="13"/>
        <v>37500</v>
      </c>
    </row>
    <row r="240" spans="1:8" ht="15.75">
      <c r="A240" s="68"/>
      <c r="B240" s="69"/>
      <c r="C240" s="70">
        <v>4710</v>
      </c>
      <c r="D240" s="71" t="s">
        <v>103</v>
      </c>
      <c r="E240" s="72">
        <f>143000-2740+20028-3600-4800+1500-1860+12000-10000+3000-2500</f>
        <v>154028</v>
      </c>
      <c r="F240" s="72">
        <v>800</v>
      </c>
      <c r="G240" s="72">
        <v>4000</v>
      </c>
      <c r="H240" s="270">
        <f t="shared" si="13"/>
        <v>150828</v>
      </c>
    </row>
    <row r="241" spans="1:10" ht="15.75">
      <c r="A241" s="68"/>
      <c r="B241" s="69"/>
      <c r="C241" s="70">
        <v>4790</v>
      </c>
      <c r="D241" s="71" t="s">
        <v>146</v>
      </c>
      <c r="E241" s="72">
        <f>29085000-2716014+3240000+5364000-1975300+5000+260000-796000</f>
        <v>32466686</v>
      </c>
      <c r="F241" s="72">
        <v>271000</v>
      </c>
      <c r="G241" s="72">
        <v>175342.22</v>
      </c>
      <c r="H241" s="270">
        <f t="shared" si="13"/>
        <v>32562343.780000001</v>
      </c>
    </row>
    <row r="242" spans="1:10" ht="15.75">
      <c r="A242" s="68"/>
      <c r="B242" s="69"/>
      <c r="C242" s="70">
        <v>4800</v>
      </c>
      <c r="D242" s="71" t="s">
        <v>147</v>
      </c>
      <c r="E242" s="72">
        <f>2115000+53800</f>
        <v>2168800</v>
      </c>
      <c r="F242" s="72"/>
      <c r="G242" s="72"/>
      <c r="H242" s="270">
        <f t="shared" si="13"/>
        <v>2168800</v>
      </c>
      <c r="J242" s="23"/>
    </row>
    <row r="243" spans="1:10" ht="15.75">
      <c r="A243" s="68"/>
      <c r="B243" s="69"/>
      <c r="C243" s="70">
        <v>6050</v>
      </c>
      <c r="D243" s="71" t="s">
        <v>98</v>
      </c>
      <c r="E243" s="72">
        <f>5949000+80000+550000-800000+200000-429000-630000</f>
        <v>4920000</v>
      </c>
      <c r="F243" s="72">
        <v>20000</v>
      </c>
      <c r="G243" s="13">
        <v>193000</v>
      </c>
      <c r="H243" s="271">
        <f t="shared" si="13"/>
        <v>4747000</v>
      </c>
      <c r="J243" s="23"/>
    </row>
    <row r="244" spans="1:10" ht="15.75">
      <c r="A244" s="68"/>
      <c r="B244" s="69"/>
      <c r="C244" s="70">
        <v>6060</v>
      </c>
      <c r="D244" s="71" t="s">
        <v>112</v>
      </c>
      <c r="E244" s="72">
        <f>60000+50000+12000</f>
        <v>122000</v>
      </c>
      <c r="F244" s="72"/>
      <c r="G244" s="13"/>
      <c r="H244" s="271">
        <f t="shared" si="13"/>
        <v>122000</v>
      </c>
    </row>
    <row r="245" spans="1:10" ht="32.25" customHeight="1">
      <c r="A245" s="68"/>
      <c r="B245" s="69"/>
      <c r="C245" s="70">
        <v>6370</v>
      </c>
      <c r="D245" s="71" t="s">
        <v>215</v>
      </c>
      <c r="E245" s="72">
        <f>3000000-935420</f>
        <v>2064580</v>
      </c>
      <c r="F245" s="72"/>
      <c r="G245" s="13">
        <v>170000</v>
      </c>
      <c r="H245" s="271">
        <f t="shared" si="13"/>
        <v>1894580</v>
      </c>
    </row>
    <row r="246" spans="1:10" ht="32.25" customHeight="1">
      <c r="A246" s="68"/>
      <c r="B246" s="69"/>
      <c r="C246" s="70">
        <v>6580</v>
      </c>
      <c r="D246" s="71" t="s">
        <v>311</v>
      </c>
      <c r="E246" s="72">
        <f>800000-100000</f>
        <v>700000</v>
      </c>
      <c r="F246" s="72"/>
      <c r="G246" s="65"/>
      <c r="H246" s="271">
        <f t="shared" si="13"/>
        <v>700000</v>
      </c>
    </row>
    <row r="247" spans="1:10" ht="15.75">
      <c r="A247" s="68"/>
      <c r="B247" s="69">
        <v>80103</v>
      </c>
      <c r="C247" s="70"/>
      <c r="D247" s="71" t="s">
        <v>60</v>
      </c>
      <c r="E247" s="72">
        <f>SUM(E248:E258)</f>
        <v>4457671</v>
      </c>
      <c r="F247" s="72">
        <f t="shared" ref="F247:G247" si="14">SUM(F248:F258)</f>
        <v>35247</v>
      </c>
      <c r="G247" s="72">
        <f t="shared" si="14"/>
        <v>76044.66</v>
      </c>
      <c r="H247" s="72">
        <f>SUM(H248:H258)</f>
        <v>4416873.34</v>
      </c>
    </row>
    <row r="248" spans="1:10" ht="47.25">
      <c r="A248" s="68"/>
      <c r="B248" s="69"/>
      <c r="C248" s="70">
        <v>2310</v>
      </c>
      <c r="D248" s="71" t="s">
        <v>107</v>
      </c>
      <c r="E248" s="72">
        <v>40000</v>
      </c>
      <c r="F248" s="72"/>
      <c r="G248" s="72"/>
      <c r="H248" s="270">
        <f>E248+F248-G248</f>
        <v>40000</v>
      </c>
    </row>
    <row r="249" spans="1:10" ht="29.25" customHeight="1">
      <c r="A249" s="68"/>
      <c r="B249" s="69"/>
      <c r="C249" s="70">
        <v>2540</v>
      </c>
      <c r="D249" s="71" t="s">
        <v>142</v>
      </c>
      <c r="E249" s="72">
        <v>340000</v>
      </c>
      <c r="F249" s="72"/>
      <c r="G249" s="72"/>
      <c r="H249" s="270">
        <f t="shared" ref="H249:H258" si="15">E249+F249-G249</f>
        <v>340000</v>
      </c>
    </row>
    <row r="250" spans="1:10" ht="15.75">
      <c r="A250" s="68"/>
      <c r="B250" s="69"/>
      <c r="C250" s="70">
        <v>3020</v>
      </c>
      <c r="D250" s="71" t="s">
        <v>119</v>
      </c>
      <c r="E250" s="72">
        <f>174922+18300+12000+3500</f>
        <v>208722</v>
      </c>
      <c r="F250" s="72">
        <v>1000</v>
      </c>
      <c r="G250" s="72">
        <v>3000</v>
      </c>
      <c r="H250" s="270">
        <f t="shared" si="15"/>
        <v>206722</v>
      </c>
    </row>
    <row r="251" spans="1:10" ht="15.75">
      <c r="A251" s="68"/>
      <c r="B251" s="69"/>
      <c r="C251" s="70">
        <v>4110</v>
      </c>
      <c r="D251" s="71" t="s">
        <v>99</v>
      </c>
      <c r="E251" s="72">
        <f>477343+36100+36500</f>
        <v>549943</v>
      </c>
      <c r="F251" s="72">
        <v>2000</v>
      </c>
      <c r="G251" s="72">
        <v>7200</v>
      </c>
      <c r="H251" s="270">
        <f t="shared" si="15"/>
        <v>544743</v>
      </c>
    </row>
    <row r="252" spans="1:10" ht="15.75">
      <c r="A252" s="68"/>
      <c r="B252" s="69"/>
      <c r="C252" s="70">
        <v>4120</v>
      </c>
      <c r="D252" s="71" t="s">
        <v>100</v>
      </c>
      <c r="E252" s="72">
        <f>63867+11200+1000</f>
        <v>76067</v>
      </c>
      <c r="F252" s="72">
        <v>500</v>
      </c>
      <c r="G252" s="72"/>
      <c r="H252" s="270">
        <f t="shared" si="15"/>
        <v>76567</v>
      </c>
    </row>
    <row r="253" spans="1:10" ht="15.75">
      <c r="A253" s="68"/>
      <c r="B253" s="69"/>
      <c r="C253" s="70">
        <v>4240</v>
      </c>
      <c r="D253" s="71" t="s">
        <v>145</v>
      </c>
      <c r="E253" s="72">
        <f>28000+3000-5000</f>
        <v>26000</v>
      </c>
      <c r="F253" s="72"/>
      <c r="G253" s="72"/>
      <c r="H253" s="270">
        <f t="shared" si="15"/>
        <v>26000</v>
      </c>
    </row>
    <row r="254" spans="1:10" ht="31.5">
      <c r="A254" s="68"/>
      <c r="B254" s="69"/>
      <c r="C254" s="70">
        <v>4330</v>
      </c>
      <c r="D254" s="71" t="s">
        <v>148</v>
      </c>
      <c r="E254" s="72">
        <v>10000</v>
      </c>
      <c r="F254" s="72"/>
      <c r="G254" s="72"/>
      <c r="H254" s="270">
        <f t="shared" si="15"/>
        <v>10000</v>
      </c>
    </row>
    <row r="255" spans="1:10" ht="15.75">
      <c r="A255" s="68"/>
      <c r="B255" s="69"/>
      <c r="C255" s="70">
        <v>4440</v>
      </c>
      <c r="D255" s="71" t="s">
        <v>127</v>
      </c>
      <c r="E255" s="72">
        <f>143366+45693</f>
        <v>189059</v>
      </c>
      <c r="F255" s="72">
        <v>6547</v>
      </c>
      <c r="G255" s="72">
        <v>13844.66</v>
      </c>
      <c r="H255" s="270">
        <f t="shared" si="15"/>
        <v>181761.34</v>
      </c>
    </row>
    <row r="256" spans="1:10" ht="15.75">
      <c r="A256" s="68"/>
      <c r="B256" s="69"/>
      <c r="C256" s="70">
        <v>4710</v>
      </c>
      <c r="D256" s="71" t="s">
        <v>103</v>
      </c>
      <c r="E256" s="72">
        <f>11700+2100+1560+400</f>
        <v>15760</v>
      </c>
      <c r="F256" s="72">
        <v>200</v>
      </c>
      <c r="G256" s="72"/>
      <c r="H256" s="270">
        <f t="shared" si="15"/>
        <v>15960</v>
      </c>
    </row>
    <row r="257" spans="1:8" ht="15.75">
      <c r="A257" s="68"/>
      <c r="B257" s="69"/>
      <c r="C257" s="70">
        <v>4790</v>
      </c>
      <c r="D257" s="71" t="s">
        <v>146</v>
      </c>
      <c r="E257" s="72">
        <f>2344320+257800+222000+40000</f>
        <v>2864120</v>
      </c>
      <c r="F257" s="72">
        <v>25000</v>
      </c>
      <c r="G257" s="72">
        <v>52000</v>
      </c>
      <c r="H257" s="270">
        <f t="shared" si="15"/>
        <v>2837120</v>
      </c>
    </row>
    <row r="258" spans="1:8" ht="15.75">
      <c r="A258" s="68"/>
      <c r="B258" s="69"/>
      <c r="C258" s="70">
        <v>4800</v>
      </c>
      <c r="D258" s="71" t="s">
        <v>147</v>
      </c>
      <c r="E258" s="72">
        <f>182800-44800</f>
        <v>138000</v>
      </c>
      <c r="F258" s="72"/>
      <c r="G258" s="72"/>
      <c r="H258" s="270">
        <f t="shared" si="15"/>
        <v>138000</v>
      </c>
    </row>
    <row r="259" spans="1:8" ht="15.75">
      <c r="A259" s="9"/>
      <c r="B259" s="10">
        <v>80104</v>
      </c>
      <c r="C259" s="11"/>
      <c r="D259" s="12" t="s">
        <v>62</v>
      </c>
      <c r="E259" s="13">
        <f>SUM(E260:E288)</f>
        <v>48939825</v>
      </c>
      <c r="F259" s="13">
        <f>SUM(F260:F288)</f>
        <v>249467</v>
      </c>
      <c r="G259" s="13">
        <f>SUM(G260:G288)</f>
        <v>18467</v>
      </c>
      <c r="H259" s="271">
        <f>SUM(H260:H288)</f>
        <v>49170825</v>
      </c>
    </row>
    <row r="260" spans="1:8" ht="47.25">
      <c r="A260" s="9"/>
      <c r="B260" s="10"/>
      <c r="C260" s="11">
        <v>2310</v>
      </c>
      <c r="D260" s="12" t="s">
        <v>107</v>
      </c>
      <c r="E260" s="13">
        <f>2500000+500000+250000+700000</f>
        <v>3950000</v>
      </c>
      <c r="F260" s="13"/>
      <c r="G260" s="13"/>
      <c r="H260" s="271">
        <f>E260+F260-G260</f>
        <v>3950000</v>
      </c>
    </row>
    <row r="261" spans="1:8" ht="29.25" customHeight="1">
      <c r="A261" s="9"/>
      <c r="B261" s="10"/>
      <c r="C261" s="11">
        <v>2540</v>
      </c>
      <c r="D261" s="12" t="s">
        <v>142</v>
      </c>
      <c r="E261" s="13">
        <f>3000000+500000</f>
        <v>3500000</v>
      </c>
      <c r="F261" s="13"/>
      <c r="G261" s="13"/>
      <c r="H261" s="271">
        <f t="shared" ref="H261:H288" si="16">E261+F261-G261</f>
        <v>3500000</v>
      </c>
    </row>
    <row r="262" spans="1:8" ht="47.25">
      <c r="A262" s="9"/>
      <c r="B262" s="10"/>
      <c r="C262" s="11">
        <v>2590</v>
      </c>
      <c r="D262" s="12" t="s">
        <v>149</v>
      </c>
      <c r="E262" s="13">
        <f>23000000-5494585-36155-300000-7182+6815-103376-3000000+200000+1694130-25000+6467500+2489+3697+150000+4200000</f>
        <v>26758333</v>
      </c>
      <c r="F262" s="13"/>
      <c r="G262" s="13"/>
      <c r="H262" s="271">
        <f t="shared" si="16"/>
        <v>26758333</v>
      </c>
    </row>
    <row r="263" spans="1:8" ht="15.75">
      <c r="A263" s="9"/>
      <c r="B263" s="10"/>
      <c r="C263" s="11">
        <v>3020</v>
      </c>
      <c r="D263" s="12" t="s">
        <v>119</v>
      </c>
      <c r="E263" s="13">
        <f>221000+49000+14000</f>
        <v>284000</v>
      </c>
      <c r="F263" s="13">
        <v>1000</v>
      </c>
      <c r="G263" s="13"/>
      <c r="H263" s="271">
        <f t="shared" si="16"/>
        <v>285000</v>
      </c>
    </row>
    <row r="264" spans="1:8" ht="15.75">
      <c r="A264" s="9"/>
      <c r="B264" s="10"/>
      <c r="C264" s="11">
        <v>4010</v>
      </c>
      <c r="D264" s="12" t="s">
        <v>116</v>
      </c>
      <c r="E264" s="13">
        <f>2775000-250000+210000-100000+348000</f>
        <v>2983000</v>
      </c>
      <c r="F264" s="13"/>
      <c r="G264" s="13">
        <v>4200</v>
      </c>
      <c r="H264" s="271">
        <f t="shared" si="16"/>
        <v>2978800</v>
      </c>
    </row>
    <row r="265" spans="1:8" ht="15.75">
      <c r="A265" s="9"/>
      <c r="B265" s="10"/>
      <c r="C265" s="11">
        <v>4040</v>
      </c>
      <c r="D265" s="12" t="s">
        <v>120</v>
      </c>
      <c r="E265" s="13">
        <v>184000</v>
      </c>
      <c r="F265" s="13"/>
      <c r="G265" s="13"/>
      <c r="H265" s="271">
        <f t="shared" si="16"/>
        <v>184000</v>
      </c>
    </row>
    <row r="266" spans="1:8" ht="15.75">
      <c r="A266" s="9"/>
      <c r="B266" s="10"/>
      <c r="C266" s="11">
        <v>4110</v>
      </c>
      <c r="D266" s="12" t="s">
        <v>99</v>
      </c>
      <c r="E266" s="13">
        <f>1070000+101000+100000</f>
        <v>1271000</v>
      </c>
      <c r="F266" s="13"/>
      <c r="G266" s="13"/>
      <c r="H266" s="271">
        <f t="shared" si="16"/>
        <v>1271000</v>
      </c>
    </row>
    <row r="267" spans="1:8" ht="15.75">
      <c r="A267" s="9"/>
      <c r="B267" s="10"/>
      <c r="C267" s="11">
        <v>4120</v>
      </c>
      <c r="D267" s="12" t="s">
        <v>100</v>
      </c>
      <c r="E267" s="13">
        <f>143000-3800+7000</f>
        <v>146200</v>
      </c>
      <c r="F267" s="13"/>
      <c r="G267" s="13"/>
      <c r="H267" s="271">
        <f t="shared" si="16"/>
        <v>146200</v>
      </c>
    </row>
    <row r="268" spans="1:8" ht="27.75" customHeight="1">
      <c r="A268" s="9"/>
      <c r="B268" s="10"/>
      <c r="C268" s="11">
        <v>4140</v>
      </c>
      <c r="D268" s="12" t="s">
        <v>121</v>
      </c>
      <c r="E268" s="13">
        <v>2000</v>
      </c>
      <c r="F268" s="13"/>
      <c r="G268" s="13"/>
      <c r="H268" s="271">
        <f t="shared" si="16"/>
        <v>2000</v>
      </c>
    </row>
    <row r="269" spans="1:8" ht="15.75">
      <c r="A269" s="9"/>
      <c r="B269" s="10"/>
      <c r="C269" s="11">
        <v>4170</v>
      </c>
      <c r="D269" s="12" t="s">
        <v>101</v>
      </c>
      <c r="E269" s="13">
        <f>4000+4000-4000</f>
        <v>4000</v>
      </c>
      <c r="F269" s="13"/>
      <c r="G269" s="13"/>
      <c r="H269" s="271">
        <f t="shared" si="16"/>
        <v>4000</v>
      </c>
    </row>
    <row r="270" spans="1:8" ht="15.75">
      <c r="A270" s="9"/>
      <c r="B270" s="10"/>
      <c r="C270" s="11">
        <v>4210</v>
      </c>
      <c r="D270" s="12" t="s">
        <v>102</v>
      </c>
      <c r="E270" s="13">
        <f>270000+6000</f>
        <v>276000</v>
      </c>
      <c r="F270" s="13">
        <v>194000</v>
      </c>
      <c r="G270" s="13"/>
      <c r="H270" s="271">
        <f t="shared" si="16"/>
        <v>470000</v>
      </c>
    </row>
    <row r="271" spans="1:8" ht="15.75">
      <c r="A271" s="9"/>
      <c r="B271" s="10"/>
      <c r="C271" s="11">
        <v>4220</v>
      </c>
      <c r="D271" s="12" t="s">
        <v>122</v>
      </c>
      <c r="E271" s="13">
        <f>360600+308700+378000+240000</f>
        <v>1287300</v>
      </c>
      <c r="F271" s="13"/>
      <c r="G271" s="13"/>
      <c r="H271" s="271">
        <f t="shared" si="16"/>
        <v>1287300</v>
      </c>
    </row>
    <row r="272" spans="1:8" ht="15.75">
      <c r="A272" s="9"/>
      <c r="B272" s="10"/>
      <c r="C272" s="11">
        <v>4240</v>
      </c>
      <c r="D272" s="12" t="s">
        <v>145</v>
      </c>
      <c r="E272" s="13">
        <v>26000</v>
      </c>
      <c r="F272" s="13">
        <v>6000</v>
      </c>
      <c r="G272" s="13"/>
      <c r="H272" s="271">
        <f t="shared" si="16"/>
        <v>32000</v>
      </c>
    </row>
    <row r="273" spans="1:8" ht="15.75">
      <c r="A273" s="9"/>
      <c r="B273" s="10"/>
      <c r="C273" s="11">
        <v>4260</v>
      </c>
      <c r="D273" s="12" t="s">
        <v>111</v>
      </c>
      <c r="E273" s="13">
        <f>345000-4000-30000</f>
        <v>311000</v>
      </c>
      <c r="F273" s="13"/>
      <c r="G273" s="13">
        <v>11100</v>
      </c>
      <c r="H273" s="271">
        <f t="shared" si="16"/>
        <v>299900</v>
      </c>
    </row>
    <row r="274" spans="1:8" ht="15.75">
      <c r="A274" s="9"/>
      <c r="B274" s="10"/>
      <c r="C274" s="11">
        <v>4270</v>
      </c>
      <c r="D274" s="12" t="s">
        <v>110</v>
      </c>
      <c r="E274" s="13">
        <f>19000-5000</f>
        <v>14000</v>
      </c>
      <c r="F274" s="13"/>
      <c r="G274" s="13"/>
      <c r="H274" s="271">
        <f t="shared" si="16"/>
        <v>14000</v>
      </c>
    </row>
    <row r="275" spans="1:8" ht="15.75">
      <c r="A275" s="9"/>
      <c r="B275" s="10"/>
      <c r="C275" s="11">
        <v>4280</v>
      </c>
      <c r="D275" s="12" t="s">
        <v>123</v>
      </c>
      <c r="E275" s="13">
        <f>12000+2000</f>
        <v>14000</v>
      </c>
      <c r="F275" s="13"/>
      <c r="G275" s="13"/>
      <c r="H275" s="271">
        <f t="shared" si="16"/>
        <v>14000</v>
      </c>
    </row>
    <row r="276" spans="1:8" ht="15.75">
      <c r="A276" s="9"/>
      <c r="B276" s="10"/>
      <c r="C276" s="11">
        <v>4300</v>
      </c>
      <c r="D276" s="12" t="s">
        <v>93</v>
      </c>
      <c r="E276" s="13">
        <f>510000+60000-100-2000-28500</f>
        <v>539400</v>
      </c>
      <c r="F276" s="13">
        <v>41500</v>
      </c>
      <c r="G276" s="13"/>
      <c r="H276" s="271">
        <f t="shared" si="16"/>
        <v>580900</v>
      </c>
    </row>
    <row r="277" spans="1:8" ht="31.5">
      <c r="A277" s="9"/>
      <c r="B277" s="10"/>
      <c r="C277" s="11">
        <v>4330</v>
      </c>
      <c r="D277" s="12" t="s">
        <v>148</v>
      </c>
      <c r="E277" s="13">
        <f>1000000+500000+250000+300000</f>
        <v>2050000</v>
      </c>
      <c r="F277" s="13"/>
      <c r="G277" s="13"/>
      <c r="H277" s="271">
        <f t="shared" si="16"/>
        <v>2050000</v>
      </c>
    </row>
    <row r="278" spans="1:8" ht="15.75">
      <c r="A278" s="9"/>
      <c r="B278" s="10"/>
      <c r="C278" s="11">
        <v>4360</v>
      </c>
      <c r="D278" s="12" t="s">
        <v>124</v>
      </c>
      <c r="E278" s="13">
        <v>16600</v>
      </c>
      <c r="F278" s="13">
        <v>100</v>
      </c>
      <c r="G278" s="13"/>
      <c r="H278" s="271">
        <f t="shared" si="16"/>
        <v>16700</v>
      </c>
    </row>
    <row r="279" spans="1:8" ht="15.75">
      <c r="A279" s="9"/>
      <c r="B279" s="10"/>
      <c r="C279" s="11">
        <v>4410</v>
      </c>
      <c r="D279" s="12" t="s">
        <v>125</v>
      </c>
      <c r="E279" s="13">
        <v>11500</v>
      </c>
      <c r="F279" s="13"/>
      <c r="G279" s="13"/>
      <c r="H279" s="271">
        <f t="shared" si="16"/>
        <v>11500</v>
      </c>
    </row>
    <row r="280" spans="1:8" ht="15.75">
      <c r="A280" s="9"/>
      <c r="B280" s="10"/>
      <c r="C280" s="11">
        <v>4430</v>
      </c>
      <c r="D280" s="12" t="s">
        <v>95</v>
      </c>
      <c r="E280" s="13">
        <f>16000-495</f>
        <v>15505</v>
      </c>
      <c r="F280" s="13">
        <v>500</v>
      </c>
      <c r="G280" s="13"/>
      <c r="H280" s="271">
        <f t="shared" si="16"/>
        <v>16005</v>
      </c>
    </row>
    <row r="281" spans="1:8" ht="15.75">
      <c r="A281" s="9"/>
      <c r="B281" s="10"/>
      <c r="C281" s="11">
        <v>4440</v>
      </c>
      <c r="D281" s="12" t="s">
        <v>127</v>
      </c>
      <c r="E281" s="13">
        <f>270000+102092+2000</f>
        <v>374092</v>
      </c>
      <c r="F281" s="13">
        <v>2167</v>
      </c>
      <c r="G281" s="13"/>
      <c r="H281" s="271">
        <f t="shared" si="16"/>
        <v>376259</v>
      </c>
    </row>
    <row r="282" spans="1:8" ht="15.75">
      <c r="A282" s="9"/>
      <c r="B282" s="10"/>
      <c r="C282" s="70">
        <v>4510</v>
      </c>
      <c r="D282" s="71" t="s">
        <v>414</v>
      </c>
      <c r="E282" s="72">
        <v>495</v>
      </c>
      <c r="F282" s="72"/>
      <c r="G282" s="65"/>
      <c r="H282" s="271">
        <f t="shared" si="16"/>
        <v>495</v>
      </c>
    </row>
    <row r="283" spans="1:8" ht="15.75">
      <c r="A283" s="9"/>
      <c r="B283" s="10"/>
      <c r="C283" s="70">
        <v>4580</v>
      </c>
      <c r="D283" s="71" t="s">
        <v>347</v>
      </c>
      <c r="E283" s="72">
        <v>100</v>
      </c>
      <c r="F283" s="72"/>
      <c r="G283" s="65"/>
      <c r="H283" s="271">
        <f t="shared" si="16"/>
        <v>100</v>
      </c>
    </row>
    <row r="284" spans="1:8" ht="31.5">
      <c r="A284" s="9"/>
      <c r="B284" s="10"/>
      <c r="C284" s="11">
        <v>4700</v>
      </c>
      <c r="D284" s="12" t="s">
        <v>128</v>
      </c>
      <c r="E284" s="13">
        <v>14000</v>
      </c>
      <c r="F284" s="13"/>
      <c r="G284" s="13"/>
      <c r="H284" s="271">
        <f t="shared" si="16"/>
        <v>14000</v>
      </c>
    </row>
    <row r="285" spans="1:8" ht="15.75">
      <c r="A285" s="9"/>
      <c r="B285" s="10"/>
      <c r="C285" s="11">
        <v>4710</v>
      </c>
      <c r="D285" s="12" t="s">
        <v>103</v>
      </c>
      <c r="E285" s="13">
        <f>14000+3800+500</f>
        <v>18300</v>
      </c>
      <c r="F285" s="13">
        <v>200</v>
      </c>
      <c r="G285" s="13"/>
      <c r="H285" s="271">
        <f t="shared" si="16"/>
        <v>18500</v>
      </c>
    </row>
    <row r="286" spans="1:8" ht="15.75">
      <c r="A286" s="9"/>
      <c r="B286" s="10"/>
      <c r="C286" s="11">
        <v>4790</v>
      </c>
      <c r="D286" s="12" t="s">
        <v>146</v>
      </c>
      <c r="E286" s="13">
        <f>3365000-250000+480000+100000+590000</f>
        <v>4285000</v>
      </c>
      <c r="F286" s="13">
        <v>4000</v>
      </c>
      <c r="G286" s="13"/>
      <c r="H286" s="271">
        <f t="shared" si="16"/>
        <v>4289000</v>
      </c>
    </row>
    <row r="287" spans="1:8" ht="15.75">
      <c r="A287" s="9"/>
      <c r="B287" s="10"/>
      <c r="C287" s="11">
        <v>4800</v>
      </c>
      <c r="D287" s="12" t="s">
        <v>147</v>
      </c>
      <c r="E287" s="13">
        <v>244000</v>
      </c>
      <c r="F287" s="13"/>
      <c r="G287" s="13">
        <v>3167</v>
      </c>
      <c r="H287" s="271">
        <f t="shared" si="16"/>
        <v>240833</v>
      </c>
    </row>
    <row r="288" spans="1:8" ht="15.75">
      <c r="A288" s="9"/>
      <c r="B288" s="10"/>
      <c r="C288" s="70">
        <v>6050</v>
      </c>
      <c r="D288" s="71" t="s">
        <v>98</v>
      </c>
      <c r="E288" s="13">
        <v>360000</v>
      </c>
      <c r="F288" s="13"/>
      <c r="G288" s="13"/>
      <c r="H288" s="271">
        <f t="shared" si="16"/>
        <v>360000</v>
      </c>
    </row>
    <row r="289" spans="1:8" ht="15.75">
      <c r="A289" s="9"/>
      <c r="B289" s="10">
        <v>80106</v>
      </c>
      <c r="C289" s="11"/>
      <c r="D289" s="12" t="s">
        <v>66</v>
      </c>
      <c r="E289" s="13">
        <f>SUM(E290:E291)</f>
        <v>235000</v>
      </c>
      <c r="F289" s="13">
        <f>SUM(F290:F291)</f>
        <v>0</v>
      </c>
      <c r="G289" s="13">
        <f>SUM(G290:G291)</f>
        <v>0</v>
      </c>
      <c r="H289" s="271">
        <f>SUM(H290:H291)</f>
        <v>235000</v>
      </c>
    </row>
    <row r="290" spans="1:8" ht="35.25" customHeight="1">
      <c r="A290" s="9"/>
      <c r="B290" s="10"/>
      <c r="C290" s="11">
        <v>2540</v>
      </c>
      <c r="D290" s="12" t="s">
        <v>142</v>
      </c>
      <c r="E290" s="13">
        <f>175000+50000</f>
        <v>225000</v>
      </c>
      <c r="F290" s="13"/>
      <c r="G290" s="13"/>
      <c r="H290" s="271">
        <f>E290+F290-G290</f>
        <v>225000</v>
      </c>
    </row>
    <row r="291" spans="1:8" ht="32.25" customHeight="1">
      <c r="A291" s="9"/>
      <c r="B291" s="10"/>
      <c r="C291" s="11">
        <v>4330</v>
      </c>
      <c r="D291" s="12" t="s">
        <v>148</v>
      </c>
      <c r="E291" s="13">
        <v>10000</v>
      </c>
      <c r="F291" s="13"/>
      <c r="G291" s="13"/>
      <c r="H291" s="271">
        <f>E291+F291-G291</f>
        <v>10000</v>
      </c>
    </row>
    <row r="292" spans="1:8" ht="15.75">
      <c r="A292" s="68"/>
      <c r="B292" s="69">
        <v>80107</v>
      </c>
      <c r="C292" s="70"/>
      <c r="D292" s="71" t="s">
        <v>150</v>
      </c>
      <c r="E292" s="72">
        <f>SUM(E293:E300)</f>
        <v>6148470</v>
      </c>
      <c r="F292" s="72">
        <f>SUM(F293:F300)</f>
        <v>85652.84</v>
      </c>
      <c r="G292" s="72">
        <f>SUM(G293:G300)</f>
        <v>67685.42</v>
      </c>
      <c r="H292" s="270">
        <f>SUM(H293:H300)</f>
        <v>6166437.4199999999</v>
      </c>
    </row>
    <row r="293" spans="1:8" ht="15.75">
      <c r="A293" s="68"/>
      <c r="B293" s="69"/>
      <c r="C293" s="70">
        <v>3020</v>
      </c>
      <c r="D293" s="71" t="s">
        <v>119</v>
      </c>
      <c r="E293" s="72">
        <f>233700+48200+8000+40000</f>
        <v>329900</v>
      </c>
      <c r="F293" s="72">
        <v>500</v>
      </c>
      <c r="G293" s="72"/>
      <c r="H293" s="270">
        <f>E293+F293-G293</f>
        <v>330400</v>
      </c>
    </row>
    <row r="294" spans="1:8" ht="15.75">
      <c r="A294" s="68"/>
      <c r="B294" s="69"/>
      <c r="C294" s="70">
        <v>4110</v>
      </c>
      <c r="D294" s="71" t="s">
        <v>99</v>
      </c>
      <c r="E294" s="72">
        <f>568700+116500+86000+60000</f>
        <v>831200</v>
      </c>
      <c r="F294" s="72">
        <v>9000</v>
      </c>
      <c r="G294" s="72">
        <v>3000</v>
      </c>
      <c r="H294" s="270">
        <f t="shared" ref="H294:H300" si="17">E294+F294-G294</f>
        <v>837200</v>
      </c>
    </row>
    <row r="295" spans="1:8" ht="15.75">
      <c r="A295" s="68"/>
      <c r="B295" s="69"/>
      <c r="C295" s="70">
        <v>4120</v>
      </c>
      <c r="D295" s="71" t="s">
        <v>100</v>
      </c>
      <c r="E295" s="72">
        <f>83400+6500+2200+3000</f>
        <v>95100</v>
      </c>
      <c r="F295" s="72">
        <v>3000</v>
      </c>
      <c r="G295" s="72"/>
      <c r="H295" s="270">
        <f t="shared" si="17"/>
        <v>98100</v>
      </c>
    </row>
    <row r="296" spans="1:8" ht="15.75">
      <c r="A296" s="68"/>
      <c r="B296" s="69"/>
      <c r="C296" s="70">
        <v>4240</v>
      </c>
      <c r="D296" s="71" t="s">
        <v>145</v>
      </c>
      <c r="E296" s="72">
        <v>39000</v>
      </c>
      <c r="F296" s="72"/>
      <c r="G296" s="72"/>
      <c r="H296" s="270">
        <f t="shared" si="17"/>
        <v>39000</v>
      </c>
    </row>
    <row r="297" spans="1:8" ht="15.75">
      <c r="A297" s="68"/>
      <c r="B297" s="69"/>
      <c r="C297" s="70">
        <v>4440</v>
      </c>
      <c r="D297" s="71" t="s">
        <v>127</v>
      </c>
      <c r="E297" s="72">
        <f>217298+70172</f>
        <v>287470</v>
      </c>
      <c r="F297" s="72">
        <v>9052.84</v>
      </c>
      <c r="G297" s="72">
        <f>2639.42+11046</f>
        <v>13685.42</v>
      </c>
      <c r="H297" s="270">
        <f t="shared" si="17"/>
        <v>282837.42000000004</v>
      </c>
    </row>
    <row r="298" spans="1:8" ht="15.75">
      <c r="A298" s="68"/>
      <c r="B298" s="69"/>
      <c r="C298" s="70">
        <v>4710</v>
      </c>
      <c r="D298" s="71" t="s">
        <v>103</v>
      </c>
      <c r="E298" s="72">
        <f>17000+1200+600+700+300</f>
        <v>19800</v>
      </c>
      <c r="F298" s="72">
        <v>100</v>
      </c>
      <c r="G298" s="72">
        <v>1000</v>
      </c>
      <c r="H298" s="270">
        <f t="shared" si="17"/>
        <v>18900</v>
      </c>
    </row>
    <row r="299" spans="1:8" ht="15.75">
      <c r="A299" s="68"/>
      <c r="B299" s="69"/>
      <c r="C299" s="70">
        <v>4790</v>
      </c>
      <c r="D299" s="71" t="s">
        <v>146</v>
      </c>
      <c r="E299" s="72">
        <f>3060000+860000+245000-8000+204000</f>
        <v>4361000</v>
      </c>
      <c r="F299" s="72">
        <v>64000</v>
      </c>
      <c r="G299" s="72">
        <v>50000</v>
      </c>
      <c r="H299" s="270">
        <f t="shared" si="17"/>
        <v>4375000</v>
      </c>
    </row>
    <row r="300" spans="1:8" ht="15.75">
      <c r="A300" s="68"/>
      <c r="B300" s="69"/>
      <c r="C300" s="70">
        <v>4800</v>
      </c>
      <c r="D300" s="71" t="s">
        <v>147</v>
      </c>
      <c r="E300" s="72">
        <f>201000-16000</f>
        <v>185000</v>
      </c>
      <c r="F300" s="72"/>
      <c r="G300" s="72"/>
      <c r="H300" s="270">
        <f t="shared" si="17"/>
        <v>185000</v>
      </c>
    </row>
    <row r="301" spans="1:8" ht="15.75">
      <c r="A301" s="68"/>
      <c r="B301" s="69">
        <v>80113</v>
      </c>
      <c r="C301" s="70"/>
      <c r="D301" s="71" t="s">
        <v>151</v>
      </c>
      <c r="E301" s="72">
        <f>E302</f>
        <v>2857100</v>
      </c>
      <c r="F301" s="72">
        <f>F302</f>
        <v>0</v>
      </c>
      <c r="G301" s="72">
        <f>G302</f>
        <v>0</v>
      </c>
      <c r="H301" s="270">
        <f>H302</f>
        <v>2857100</v>
      </c>
    </row>
    <row r="302" spans="1:8" ht="15.75">
      <c r="A302" s="68"/>
      <c r="B302" s="69"/>
      <c r="C302" s="70">
        <v>4300</v>
      </c>
      <c r="D302" s="71" t="s">
        <v>93</v>
      </c>
      <c r="E302" s="72">
        <f>2185000+600000+9600+500000-91000+3500-350000</f>
        <v>2857100</v>
      </c>
      <c r="F302" s="72"/>
      <c r="G302" s="72"/>
      <c r="H302" s="270">
        <f>E302+F302-G302</f>
        <v>2857100</v>
      </c>
    </row>
    <row r="303" spans="1:8" ht="15.75">
      <c r="A303" s="9"/>
      <c r="B303" s="10">
        <v>80132</v>
      </c>
      <c r="C303" s="11"/>
      <c r="D303" s="12" t="s">
        <v>152</v>
      </c>
      <c r="E303" s="13">
        <f>E304</f>
        <v>91000</v>
      </c>
      <c r="F303" s="13">
        <f>F304</f>
        <v>0</v>
      </c>
      <c r="G303" s="13">
        <f>G304</f>
        <v>0</v>
      </c>
      <c r="H303" s="271">
        <f>H304</f>
        <v>91000</v>
      </c>
    </row>
    <row r="304" spans="1:8" ht="47.25">
      <c r="A304" s="9"/>
      <c r="B304" s="10"/>
      <c r="C304" s="11">
        <v>2710</v>
      </c>
      <c r="D304" s="12" t="s">
        <v>106</v>
      </c>
      <c r="E304" s="13">
        <v>91000</v>
      </c>
      <c r="F304" s="13"/>
      <c r="G304" s="13"/>
      <c r="H304" s="271">
        <f>E304+F304-G304</f>
        <v>91000</v>
      </c>
    </row>
    <row r="305" spans="1:8" ht="15.75">
      <c r="A305" s="62"/>
      <c r="B305" s="69">
        <v>80146</v>
      </c>
      <c r="C305" s="70"/>
      <c r="D305" s="71" t="s">
        <v>153</v>
      </c>
      <c r="E305" s="72">
        <f>SUM(E306:E307)</f>
        <v>316135</v>
      </c>
      <c r="F305" s="72">
        <f>SUM(F306:F307)</f>
        <v>0</v>
      </c>
      <c r="G305" s="72">
        <f>SUM(G306:G307)</f>
        <v>0</v>
      </c>
      <c r="H305" s="270">
        <f>SUM(H306:H307)</f>
        <v>316135</v>
      </c>
    </row>
    <row r="306" spans="1:8" ht="15.75">
      <c r="A306" s="62"/>
      <c r="B306" s="69"/>
      <c r="C306" s="70">
        <v>4300</v>
      </c>
      <c r="D306" s="71" t="s">
        <v>93</v>
      </c>
      <c r="E306" s="72">
        <f>253100+26920</f>
        <v>280020</v>
      </c>
      <c r="F306" s="72"/>
      <c r="G306" s="72"/>
      <c r="H306" s="270">
        <f>E306+F306-G306</f>
        <v>280020</v>
      </c>
    </row>
    <row r="307" spans="1:8" ht="31.5">
      <c r="A307" s="62"/>
      <c r="B307" s="69"/>
      <c r="C307" s="70">
        <v>4700</v>
      </c>
      <c r="D307" s="71" t="s">
        <v>128</v>
      </c>
      <c r="E307" s="72">
        <f>22815+13300</f>
        <v>36115</v>
      </c>
      <c r="F307" s="72"/>
      <c r="G307" s="72"/>
      <c r="H307" s="270">
        <f>E307+F307-G307</f>
        <v>36115</v>
      </c>
    </row>
    <row r="308" spans="1:8" ht="63">
      <c r="A308" s="9"/>
      <c r="B308" s="10">
        <v>80149</v>
      </c>
      <c r="C308" s="11"/>
      <c r="D308" s="12" t="s">
        <v>154</v>
      </c>
      <c r="E308" s="13">
        <f>SUM(E309:E310)</f>
        <v>11200000</v>
      </c>
      <c r="F308" s="13">
        <f>SUM(F309:F310)</f>
        <v>0</v>
      </c>
      <c r="G308" s="13">
        <f>SUM(G309:G310)</f>
        <v>0</v>
      </c>
      <c r="H308" s="271">
        <f>SUM(H309:H310)</f>
        <v>11200000</v>
      </c>
    </row>
    <row r="309" spans="1:8" ht="31.5">
      <c r="A309" s="9"/>
      <c r="B309" s="10"/>
      <c r="C309" s="11">
        <v>2540</v>
      </c>
      <c r="D309" s="12" t="s">
        <v>142</v>
      </c>
      <c r="E309" s="13">
        <f>3400000+500000+1600000</f>
        <v>5500000</v>
      </c>
      <c r="F309" s="13"/>
      <c r="G309" s="13"/>
      <c r="H309" s="271">
        <f>E309+F309-G309</f>
        <v>5500000</v>
      </c>
    </row>
    <row r="310" spans="1:8" ht="47.25">
      <c r="A310" s="9"/>
      <c r="B310" s="10"/>
      <c r="C310" s="11">
        <v>2590</v>
      </c>
      <c r="D310" s="12" t="s">
        <v>149</v>
      </c>
      <c r="E310" s="13">
        <f>2700000+500000+2500000</f>
        <v>5700000</v>
      </c>
      <c r="F310" s="13"/>
      <c r="G310" s="13"/>
      <c r="H310" s="271">
        <f>E310+F310-G310</f>
        <v>5700000</v>
      </c>
    </row>
    <row r="311" spans="1:8" ht="47.25">
      <c r="A311" s="9"/>
      <c r="B311" s="10">
        <v>80150</v>
      </c>
      <c r="C311" s="11"/>
      <c r="D311" s="12" t="s">
        <v>327</v>
      </c>
      <c r="E311" s="13">
        <f>SUM(E312:E319)</f>
        <v>5429369</v>
      </c>
      <c r="F311" s="13">
        <f>SUM(F312:F319)</f>
        <v>65364.66</v>
      </c>
      <c r="G311" s="13">
        <f>SUM(G312:G319)</f>
        <v>138761.35</v>
      </c>
      <c r="H311" s="271">
        <f>SUM(H312:H319)</f>
        <v>5355972.3100000005</v>
      </c>
    </row>
    <row r="312" spans="1:8" ht="15.75">
      <c r="A312" s="9"/>
      <c r="B312" s="10"/>
      <c r="C312" s="70">
        <v>3020</v>
      </c>
      <c r="D312" s="71" t="s">
        <v>119</v>
      </c>
      <c r="E312" s="13">
        <f>20000+77000+28910+27800+48100+20000+57250+7200+20500</f>
        <v>306760</v>
      </c>
      <c r="F312" s="13">
        <v>700</v>
      </c>
      <c r="G312" s="13">
        <v>8000</v>
      </c>
      <c r="H312" s="271">
        <f>E312+F312-G312</f>
        <v>299460</v>
      </c>
    </row>
    <row r="313" spans="1:8" ht="15.75">
      <c r="A313" s="9"/>
      <c r="B313" s="10"/>
      <c r="C313" s="11">
        <v>4010</v>
      </c>
      <c r="D313" s="12" t="s">
        <v>116</v>
      </c>
      <c r="E313" s="13">
        <f>24000-24000</f>
        <v>0</v>
      </c>
      <c r="F313" s="13"/>
      <c r="G313" s="13"/>
      <c r="H313" s="271">
        <f t="shared" ref="H313:H319" si="18">E313+F313-G313</f>
        <v>0</v>
      </c>
    </row>
    <row r="314" spans="1:8" ht="15.75">
      <c r="A314" s="9"/>
      <c r="B314" s="10"/>
      <c r="C314" s="70">
        <v>4110</v>
      </c>
      <c r="D314" s="71" t="s">
        <v>99</v>
      </c>
      <c r="E314" s="13">
        <f>55000+66470+69595+155000+81000+100800+88000+62000+33000-5000</f>
        <v>705865</v>
      </c>
      <c r="F314" s="13">
        <v>6500</v>
      </c>
      <c r="G314" s="13">
        <v>20000</v>
      </c>
      <c r="H314" s="271">
        <f t="shared" si="18"/>
        <v>692365</v>
      </c>
    </row>
    <row r="315" spans="1:8" ht="15.75">
      <c r="A315" s="9"/>
      <c r="B315" s="10"/>
      <c r="C315" s="70">
        <v>4120</v>
      </c>
      <c r="D315" s="71" t="s">
        <v>100</v>
      </c>
      <c r="E315" s="13">
        <f>9000+10876+9919+19000+11500+9400+9000+1000+5500</f>
        <v>85195</v>
      </c>
      <c r="F315" s="13"/>
      <c r="G315" s="13"/>
      <c r="H315" s="271">
        <f t="shared" si="18"/>
        <v>85195</v>
      </c>
    </row>
    <row r="316" spans="1:8" ht="15.75">
      <c r="A316" s="9"/>
      <c r="B316" s="10"/>
      <c r="C316" s="70">
        <v>4240</v>
      </c>
      <c r="D316" s="71" t="s">
        <v>145</v>
      </c>
      <c r="E316" s="13">
        <f>3000+3000+5000+30000+6900</f>
        <v>47900</v>
      </c>
      <c r="F316" s="65"/>
      <c r="G316" s="13"/>
      <c r="H316" s="271">
        <f t="shared" si="18"/>
        <v>47900</v>
      </c>
    </row>
    <row r="317" spans="1:8" ht="15.75">
      <c r="A317" s="9"/>
      <c r="B317" s="10"/>
      <c r="C317" s="70">
        <v>4440</v>
      </c>
      <c r="D317" s="71" t="s">
        <v>127</v>
      </c>
      <c r="E317" s="13">
        <v>281095</v>
      </c>
      <c r="F317" s="13">
        <v>23664.66</v>
      </c>
      <c r="G317" s="13">
        <v>10761.35</v>
      </c>
      <c r="H317" s="271">
        <f t="shared" si="18"/>
        <v>293998.31</v>
      </c>
    </row>
    <row r="318" spans="1:8" ht="15.75">
      <c r="A318" s="9"/>
      <c r="B318" s="10"/>
      <c r="C318" s="70">
        <v>4710</v>
      </c>
      <c r="D318" s="71" t="s">
        <v>103</v>
      </c>
      <c r="E318" s="13">
        <f>2000+640+100+3600+1500+1800+700+200</f>
        <v>10540</v>
      </c>
      <c r="F318" s="13">
        <v>500</v>
      </c>
      <c r="G318" s="13"/>
      <c r="H318" s="271">
        <f t="shared" si="18"/>
        <v>11040</v>
      </c>
    </row>
    <row r="319" spans="1:8" ht="15.75">
      <c r="A319" s="9"/>
      <c r="B319" s="10"/>
      <c r="C319" s="70">
        <v>4790</v>
      </c>
      <c r="D319" s="71" t="s">
        <v>146</v>
      </c>
      <c r="E319" s="13">
        <f>300000+368658+404856+870000+437500+335000+924000-1044000+1160000+236000</f>
        <v>3992014</v>
      </c>
      <c r="F319" s="13">
        <v>34000</v>
      </c>
      <c r="G319" s="13">
        <v>100000</v>
      </c>
      <c r="H319" s="271">
        <f t="shared" si="18"/>
        <v>3926014</v>
      </c>
    </row>
    <row r="320" spans="1:8" ht="47.25">
      <c r="A320" s="9"/>
      <c r="B320" s="10">
        <v>80153</v>
      </c>
      <c r="C320" s="11"/>
      <c r="D320" s="12" t="s">
        <v>329</v>
      </c>
      <c r="E320" s="13">
        <f>SUM(E321:E326)</f>
        <v>579302.94999999995</v>
      </c>
      <c r="F320" s="13">
        <f>SUM(F321:F326)</f>
        <v>54.45</v>
      </c>
      <c r="G320" s="13">
        <f>SUM(G321:G326)</f>
        <v>54.45</v>
      </c>
      <c r="H320" s="402">
        <f>SUM(H321:H326)</f>
        <v>579302.94999999995</v>
      </c>
    </row>
    <row r="321" spans="1:8" ht="31.5">
      <c r="A321" s="9"/>
      <c r="B321" s="10"/>
      <c r="C321" s="11">
        <v>2820</v>
      </c>
      <c r="D321" s="12" t="s">
        <v>476</v>
      </c>
      <c r="E321" s="13">
        <v>24120.06</v>
      </c>
      <c r="F321" s="13"/>
      <c r="G321" s="13">
        <v>54.45</v>
      </c>
      <c r="H321" s="271">
        <f t="shared" ref="H321:H327" si="19">E321+F321-G321</f>
        <v>24065.61</v>
      </c>
    </row>
    <row r="322" spans="1:8" ht="15.75">
      <c r="A322" s="9"/>
      <c r="B322" s="10"/>
      <c r="C322" s="70">
        <v>2950</v>
      </c>
      <c r="D322" s="71" t="s">
        <v>332</v>
      </c>
      <c r="E322" s="13">
        <v>627</v>
      </c>
      <c r="F322" s="13"/>
      <c r="G322" s="13"/>
      <c r="H322" s="271">
        <f t="shared" si="19"/>
        <v>627</v>
      </c>
    </row>
    <row r="323" spans="1:8" ht="15.75">
      <c r="A323" s="9"/>
      <c r="B323" s="10"/>
      <c r="C323" s="70">
        <v>4110</v>
      </c>
      <c r="D323" s="71" t="s">
        <v>99</v>
      </c>
      <c r="E323" s="13">
        <f>733.22+76.67</f>
        <v>809.89</v>
      </c>
      <c r="F323" s="13">
        <v>2.64</v>
      </c>
      <c r="G323" s="13"/>
      <c r="H323" s="271">
        <f t="shared" si="19"/>
        <v>812.53</v>
      </c>
    </row>
    <row r="324" spans="1:8" ht="15.75">
      <c r="A324" s="9"/>
      <c r="B324" s="10"/>
      <c r="C324" s="70">
        <v>4120</v>
      </c>
      <c r="D324" s="71" t="s">
        <v>100</v>
      </c>
      <c r="E324" s="13">
        <f>106.11+11.1</f>
        <v>117.21</v>
      </c>
      <c r="F324" s="13">
        <v>0.37</v>
      </c>
      <c r="G324" s="13"/>
      <c r="H324" s="271">
        <f t="shared" si="19"/>
        <v>117.58</v>
      </c>
    </row>
    <row r="325" spans="1:8" ht="15.75">
      <c r="A325" s="9"/>
      <c r="B325" s="10"/>
      <c r="C325" s="11">
        <v>4170</v>
      </c>
      <c r="D325" s="12" t="s">
        <v>101</v>
      </c>
      <c r="E325" s="13">
        <f>4330.84+452.88</f>
        <v>4783.72</v>
      </c>
      <c r="F325" s="13">
        <v>15.58</v>
      </c>
      <c r="G325" s="13"/>
      <c r="H325" s="271">
        <f t="shared" si="19"/>
        <v>4799.3</v>
      </c>
    </row>
    <row r="326" spans="1:8" ht="15.75">
      <c r="A326" s="9"/>
      <c r="B326" s="10"/>
      <c r="C326" s="70">
        <v>4240</v>
      </c>
      <c r="D326" s="71" t="s">
        <v>145</v>
      </c>
      <c r="E326" s="13">
        <f>517019.62+47564.82-15739.37</f>
        <v>548845.06999999995</v>
      </c>
      <c r="F326" s="13">
        <v>35.86</v>
      </c>
      <c r="G326" s="13"/>
      <c r="H326" s="271">
        <f t="shared" si="19"/>
        <v>548880.92999999993</v>
      </c>
    </row>
    <row r="327" spans="1:8" ht="15.75">
      <c r="A327" s="9"/>
      <c r="B327" s="10"/>
      <c r="C327" s="70"/>
      <c r="D327" s="12" t="s">
        <v>511</v>
      </c>
      <c r="E327" s="13"/>
      <c r="F327" s="13"/>
      <c r="G327" s="13"/>
      <c r="H327" s="402">
        <f t="shared" si="19"/>
        <v>0</v>
      </c>
    </row>
    <row r="328" spans="1:8" ht="15.75">
      <c r="A328" s="9"/>
      <c r="B328" s="10">
        <v>80178</v>
      </c>
      <c r="C328" s="11"/>
      <c r="D328" s="12" t="s">
        <v>498</v>
      </c>
      <c r="E328" s="13">
        <f>SUM(E329)</f>
        <v>50000</v>
      </c>
      <c r="F328" s="13">
        <f>SUM(F329)</f>
        <v>0</v>
      </c>
      <c r="G328" s="13">
        <f>SUM(G329)</f>
        <v>0</v>
      </c>
      <c r="H328" s="271">
        <f>SUM(H329)</f>
        <v>50000</v>
      </c>
    </row>
    <row r="329" spans="1:8" ht="47.25">
      <c r="A329" s="9"/>
      <c r="B329" s="10"/>
      <c r="C329" s="11">
        <v>2710</v>
      </c>
      <c r="D329" s="12" t="s">
        <v>106</v>
      </c>
      <c r="E329" s="13">
        <v>50000</v>
      </c>
      <c r="F329" s="13"/>
      <c r="G329" s="13"/>
      <c r="H329" s="271">
        <f>E329+F329-G329</f>
        <v>50000</v>
      </c>
    </row>
    <row r="330" spans="1:8" ht="15.75">
      <c r="A330" s="9"/>
      <c r="B330" s="10"/>
      <c r="C330" s="11"/>
      <c r="D330" s="12"/>
      <c r="E330" s="13"/>
      <c r="F330" s="13"/>
      <c r="G330" s="13"/>
      <c r="H330" s="271"/>
    </row>
    <row r="331" spans="1:8" ht="15.75">
      <c r="A331" s="9"/>
      <c r="B331" s="10"/>
      <c r="C331" s="11"/>
      <c r="D331" s="12"/>
      <c r="E331" s="13"/>
      <c r="F331" s="13"/>
      <c r="G331" s="13"/>
      <c r="H331" s="271"/>
    </row>
    <row r="332" spans="1:8" ht="15.75">
      <c r="A332" s="9"/>
      <c r="B332" s="10">
        <v>80195</v>
      </c>
      <c r="C332" s="11"/>
      <c r="D332" s="12" t="s">
        <v>8</v>
      </c>
      <c r="E332" s="13">
        <f>SUM(E333:E356)</f>
        <v>2923132.08</v>
      </c>
      <c r="F332" s="13">
        <f>SUM(F333:F356)</f>
        <v>326007.3</v>
      </c>
      <c r="G332" s="13">
        <f>SUM(G333:G356)</f>
        <v>147895.29999999999</v>
      </c>
      <c r="H332" s="402">
        <f>SUM(H333:H356)</f>
        <v>3101244.08</v>
      </c>
    </row>
    <row r="333" spans="1:8" ht="31.5">
      <c r="A333" s="9"/>
      <c r="B333" s="10"/>
      <c r="C333" s="11">
        <v>2540</v>
      </c>
      <c r="D333" s="12" t="s">
        <v>142</v>
      </c>
      <c r="E333" s="13">
        <f>105200.64-81024.46+33418.58+25594.08+15930.68+107743.9</f>
        <v>206863.41999999998</v>
      </c>
      <c r="F333" s="13"/>
      <c r="G333" s="13">
        <v>50000</v>
      </c>
      <c r="H333" s="271">
        <f>E333+F333-G333</f>
        <v>156863.41999999998</v>
      </c>
    </row>
    <row r="334" spans="1:8" ht="47.25">
      <c r="A334" s="9"/>
      <c r="B334" s="10"/>
      <c r="C334" s="11">
        <v>2590</v>
      </c>
      <c r="D334" s="12" t="s">
        <v>149</v>
      </c>
      <c r="E334" s="13">
        <f>24176.18+81024.46+121638.24+151723.32+62485.8+234160.1</f>
        <v>675208.1</v>
      </c>
      <c r="F334" s="13"/>
      <c r="G334" s="13">
        <v>60000</v>
      </c>
      <c r="H334" s="271">
        <f>E334+F334-G334</f>
        <v>615208.1</v>
      </c>
    </row>
    <row r="335" spans="1:8" ht="15.75">
      <c r="A335" s="9"/>
      <c r="B335" s="10"/>
      <c r="C335" s="70">
        <v>4117</v>
      </c>
      <c r="D335" s="71" t="s">
        <v>99</v>
      </c>
      <c r="E335" s="13">
        <v>1142.17</v>
      </c>
      <c r="F335" s="13"/>
      <c r="G335" s="13">
        <v>625.86</v>
      </c>
      <c r="H335" s="271">
        <f t="shared" ref="H335:H341" si="20">E335+F335-G335</f>
        <v>516.31000000000006</v>
      </c>
    </row>
    <row r="336" spans="1:8" ht="15.75">
      <c r="A336" s="9"/>
      <c r="B336" s="10"/>
      <c r="C336" s="70">
        <v>4127</v>
      </c>
      <c r="D336" s="71" t="s">
        <v>100</v>
      </c>
      <c r="E336" s="13">
        <v>163.19999999999999</v>
      </c>
      <c r="F336" s="13"/>
      <c r="G336" s="13">
        <v>89.61</v>
      </c>
      <c r="H336" s="271">
        <f t="shared" si="20"/>
        <v>73.589999999999989</v>
      </c>
    </row>
    <row r="337" spans="1:8" ht="15.75">
      <c r="A337" s="9"/>
      <c r="B337" s="10"/>
      <c r="C337" s="11">
        <v>4170</v>
      </c>
      <c r="D337" s="12" t="s">
        <v>101</v>
      </c>
      <c r="E337" s="13">
        <f>5000+31000</f>
        <v>36000</v>
      </c>
      <c r="F337" s="13"/>
      <c r="G337" s="13"/>
      <c r="H337" s="271">
        <f t="shared" si="20"/>
        <v>36000</v>
      </c>
    </row>
    <row r="338" spans="1:8" ht="15.75">
      <c r="A338" s="9"/>
      <c r="B338" s="10"/>
      <c r="C338" s="11">
        <v>4119</v>
      </c>
      <c r="D338" s="71" t="s">
        <v>99</v>
      </c>
      <c r="E338" s="13">
        <v>3365.55</v>
      </c>
      <c r="F338" s="13">
        <v>73.760000000000005</v>
      </c>
      <c r="G338" s="13"/>
      <c r="H338" s="271">
        <f t="shared" si="20"/>
        <v>3439.3100000000004</v>
      </c>
    </row>
    <row r="339" spans="1:8" ht="15.75">
      <c r="A339" s="9"/>
      <c r="B339" s="10"/>
      <c r="C339" s="11">
        <v>4129</v>
      </c>
      <c r="D339" s="71" t="s">
        <v>100</v>
      </c>
      <c r="E339" s="13">
        <v>487.04</v>
      </c>
      <c r="F339" s="13">
        <v>10.51</v>
      </c>
      <c r="G339" s="13"/>
      <c r="H339" s="271">
        <f t="shared" si="20"/>
        <v>497.55</v>
      </c>
    </row>
    <row r="340" spans="1:8" ht="15.75">
      <c r="A340" s="9"/>
      <c r="B340" s="10"/>
      <c r="C340" s="11">
        <v>4179</v>
      </c>
      <c r="D340" s="12" t="s">
        <v>101</v>
      </c>
      <c r="E340" s="13">
        <v>19879.22</v>
      </c>
      <c r="F340" s="13"/>
      <c r="G340" s="13"/>
      <c r="H340" s="271">
        <f t="shared" si="20"/>
        <v>19879.22</v>
      </c>
    </row>
    <row r="341" spans="1:8" ht="15.75">
      <c r="A341" s="9"/>
      <c r="B341" s="10"/>
      <c r="C341" s="11">
        <v>4217</v>
      </c>
      <c r="D341" s="12" t="s">
        <v>102</v>
      </c>
      <c r="E341" s="13">
        <v>7650</v>
      </c>
      <c r="F341" s="13"/>
      <c r="G341" s="13">
        <v>7650</v>
      </c>
      <c r="H341" s="271">
        <f t="shared" si="20"/>
        <v>0</v>
      </c>
    </row>
    <row r="342" spans="1:8" ht="15.75">
      <c r="A342" s="9"/>
      <c r="B342" s="10"/>
      <c r="C342" s="11">
        <v>4270</v>
      </c>
      <c r="D342" s="12" t="s">
        <v>110</v>
      </c>
      <c r="E342" s="13">
        <f>250000+260000</f>
        <v>510000</v>
      </c>
      <c r="F342" s="13"/>
      <c r="G342" s="13"/>
      <c r="H342" s="271">
        <f t="shared" ref="H342:H356" si="21">E342+F342-G342</f>
        <v>510000</v>
      </c>
    </row>
    <row r="343" spans="1:8" ht="15.75">
      <c r="A343" s="62"/>
      <c r="B343" s="63"/>
      <c r="C343" s="11">
        <v>4300</v>
      </c>
      <c r="D343" s="12" t="s">
        <v>93</v>
      </c>
      <c r="E343" s="13">
        <f>1250000+555000+40000+790000-2600000-5000+60000+50000</f>
        <v>140000</v>
      </c>
      <c r="F343" s="13"/>
      <c r="G343" s="13"/>
      <c r="H343" s="271">
        <f t="shared" si="21"/>
        <v>140000</v>
      </c>
    </row>
    <row r="344" spans="1:8" ht="15.75">
      <c r="A344" s="62"/>
      <c r="B344" s="63"/>
      <c r="C344" s="11">
        <v>4307</v>
      </c>
      <c r="D344" s="12" t="s">
        <v>93</v>
      </c>
      <c r="E344" s="13">
        <f>113717-15616.88</f>
        <v>98100.12</v>
      </c>
      <c r="F344" s="13">
        <v>11509.68</v>
      </c>
      <c r="G344" s="13">
        <v>14025.85</v>
      </c>
      <c r="H344" s="271">
        <f t="shared" si="21"/>
        <v>95583.949999999983</v>
      </c>
    </row>
    <row r="345" spans="1:8" ht="15.75">
      <c r="A345" s="62"/>
      <c r="B345" s="63"/>
      <c r="C345" s="11">
        <v>4309</v>
      </c>
      <c r="D345" s="12" t="s">
        <v>93</v>
      </c>
      <c r="E345" s="13">
        <f>52030-24030</f>
        <v>28000</v>
      </c>
      <c r="F345" s="13">
        <v>13654.85</v>
      </c>
      <c r="G345" s="13"/>
      <c r="H345" s="271">
        <f t="shared" si="21"/>
        <v>41654.85</v>
      </c>
    </row>
    <row r="346" spans="1:8" ht="31.5">
      <c r="A346" s="62"/>
      <c r="B346" s="63"/>
      <c r="C346" s="11">
        <v>4350</v>
      </c>
      <c r="D346" s="12" t="s">
        <v>323</v>
      </c>
      <c r="E346" s="13">
        <f>211842.78+105210+132709+118000+49410.2</f>
        <v>617171.98</v>
      </c>
      <c r="F346" s="13">
        <f>167205+110000</f>
        <v>277205</v>
      </c>
      <c r="G346" s="13"/>
      <c r="H346" s="271">
        <f t="shared" si="21"/>
        <v>894376.98</v>
      </c>
    </row>
    <row r="347" spans="1:8" ht="15.75">
      <c r="A347" s="62"/>
      <c r="B347" s="63"/>
      <c r="C347" s="11">
        <v>4370</v>
      </c>
      <c r="D347" s="12" t="s">
        <v>348</v>
      </c>
      <c r="E347" s="13">
        <f>32226.23+23400+46436+60000</f>
        <v>162062.22999999998</v>
      </c>
      <c r="F347" s="13"/>
      <c r="G347" s="13"/>
      <c r="H347" s="271">
        <f t="shared" si="21"/>
        <v>162062.22999999998</v>
      </c>
    </row>
    <row r="348" spans="1:8" ht="15.75">
      <c r="A348" s="9"/>
      <c r="B348" s="10"/>
      <c r="C348" s="11">
        <v>4430</v>
      </c>
      <c r="D348" s="12" t="s">
        <v>95</v>
      </c>
      <c r="E348" s="13">
        <v>233722</v>
      </c>
      <c r="F348" s="13"/>
      <c r="G348" s="13"/>
      <c r="H348" s="271">
        <f t="shared" si="21"/>
        <v>233722</v>
      </c>
    </row>
    <row r="349" spans="1:8" ht="29.25" customHeight="1">
      <c r="A349" s="9"/>
      <c r="B349" s="10"/>
      <c r="C349" s="11">
        <v>4740</v>
      </c>
      <c r="D349" s="12" t="s">
        <v>319</v>
      </c>
      <c r="E349" s="13">
        <f>6000+39405+2200</f>
        <v>47605</v>
      </c>
      <c r="F349" s="13"/>
      <c r="G349" s="13"/>
      <c r="H349" s="271">
        <f t="shared" si="21"/>
        <v>47605</v>
      </c>
    </row>
    <row r="350" spans="1:8" ht="30.75" customHeight="1">
      <c r="A350" s="9"/>
      <c r="B350" s="10"/>
      <c r="C350" s="11">
        <v>4750</v>
      </c>
      <c r="D350" s="12" t="s">
        <v>345</v>
      </c>
      <c r="E350" s="13">
        <f>8478.4+5101+6750</f>
        <v>20329.400000000001</v>
      </c>
      <c r="F350" s="13">
        <v>9200</v>
      </c>
      <c r="G350" s="13"/>
      <c r="H350" s="271">
        <f t="shared" si="21"/>
        <v>29529.4</v>
      </c>
    </row>
    <row r="351" spans="1:8" ht="15.75">
      <c r="A351" s="9"/>
      <c r="B351" s="10"/>
      <c r="C351" s="11">
        <v>4719</v>
      </c>
      <c r="D351" s="71" t="s">
        <v>103</v>
      </c>
      <c r="E351" s="13">
        <v>298.19</v>
      </c>
      <c r="F351" s="13"/>
      <c r="G351" s="13"/>
      <c r="H351" s="271">
        <f t="shared" si="21"/>
        <v>298.19</v>
      </c>
    </row>
    <row r="352" spans="1:8" ht="15.75">
      <c r="A352" s="9"/>
      <c r="B352" s="10"/>
      <c r="C352" s="70">
        <v>4797</v>
      </c>
      <c r="D352" s="71" t="s">
        <v>146</v>
      </c>
      <c r="E352" s="13">
        <v>6661.51</v>
      </c>
      <c r="F352" s="13"/>
      <c r="G352" s="13">
        <v>3657.61</v>
      </c>
      <c r="H352" s="271">
        <f t="shared" si="21"/>
        <v>3003.9</v>
      </c>
    </row>
    <row r="353" spans="1:10" ht="15.75">
      <c r="A353" s="9"/>
      <c r="B353" s="10"/>
      <c r="C353" s="70">
        <v>4799</v>
      </c>
      <c r="D353" s="71" t="s">
        <v>146</v>
      </c>
      <c r="E353" s="13"/>
      <c r="F353" s="13">
        <v>429.13</v>
      </c>
      <c r="G353" s="13"/>
      <c r="H353" s="271">
        <f t="shared" si="21"/>
        <v>429.13</v>
      </c>
    </row>
    <row r="354" spans="1:10" ht="31.5">
      <c r="A354" s="9"/>
      <c r="B354" s="10"/>
      <c r="C354" s="11">
        <v>4850</v>
      </c>
      <c r="D354" s="12" t="s">
        <v>322</v>
      </c>
      <c r="E354" s="13">
        <f>1435+10577.95+1560+450</f>
        <v>14022.95</v>
      </c>
      <c r="F354" s="13">
        <v>1707</v>
      </c>
      <c r="G354" s="13"/>
      <c r="H354" s="271">
        <f t="shared" si="21"/>
        <v>15729.95</v>
      </c>
    </row>
    <row r="355" spans="1:10" ht="15.75">
      <c r="A355" s="9"/>
      <c r="B355" s="10"/>
      <c r="C355" s="11">
        <v>6057</v>
      </c>
      <c r="D355" s="71" t="s">
        <v>98</v>
      </c>
      <c r="E355" s="13">
        <v>94400</v>
      </c>
      <c r="F355" s="13">
        <v>371</v>
      </c>
      <c r="G355" s="13">
        <v>11846.37</v>
      </c>
      <c r="H355" s="271">
        <f t="shared" si="21"/>
        <v>82924.63</v>
      </c>
      <c r="J355" s="23"/>
    </row>
    <row r="356" spans="1:10" ht="15.75">
      <c r="A356" s="9"/>
      <c r="B356" s="10"/>
      <c r="C356" s="11">
        <v>6059</v>
      </c>
      <c r="D356" s="71" t="s">
        <v>98</v>
      </c>
      <c r="E356" s="13"/>
      <c r="F356" s="13">
        <v>11846.37</v>
      </c>
      <c r="G356" s="13"/>
      <c r="H356" s="271">
        <f t="shared" si="21"/>
        <v>11846.37</v>
      </c>
      <c r="J356" s="23"/>
    </row>
    <row r="357" spans="1:10" ht="15.75">
      <c r="A357" s="9">
        <v>851</v>
      </c>
      <c r="B357" s="10"/>
      <c r="C357" s="11"/>
      <c r="D357" s="12" t="s">
        <v>155</v>
      </c>
      <c r="E357" s="13">
        <f>E358+E361+E367+E380+E382</f>
        <v>1828289.79</v>
      </c>
      <c r="F357" s="13">
        <f>F358+F361+F367+F380+F382</f>
        <v>60000</v>
      </c>
      <c r="G357" s="13">
        <f>G358+G361+G367+G380+G382</f>
        <v>0</v>
      </c>
      <c r="H357" s="271">
        <f>H358+H361+H367+H380+H382</f>
        <v>1888289.79</v>
      </c>
    </row>
    <row r="358" spans="1:10" ht="15.75">
      <c r="A358" s="9"/>
      <c r="B358" s="10">
        <v>85149</v>
      </c>
      <c r="C358" s="11"/>
      <c r="D358" s="12" t="s">
        <v>210</v>
      </c>
      <c r="E358" s="13">
        <f>SUM(E359:E360)</f>
        <v>299190</v>
      </c>
      <c r="F358" s="13">
        <f>SUM(F359:F360)</f>
        <v>0</v>
      </c>
      <c r="G358" s="13">
        <f>SUM(G359:G360)</f>
        <v>0</v>
      </c>
      <c r="H358" s="271">
        <f>SUM(H359:H360)</f>
        <v>299190</v>
      </c>
    </row>
    <row r="359" spans="1:10" ht="47.25">
      <c r="A359" s="9"/>
      <c r="B359" s="10"/>
      <c r="C359" s="11">
        <v>2780</v>
      </c>
      <c r="D359" s="12" t="s">
        <v>211</v>
      </c>
      <c r="E359" s="13">
        <v>120000</v>
      </c>
      <c r="F359" s="13"/>
      <c r="G359" s="13"/>
      <c r="H359" s="271">
        <f>E359+F359-G359</f>
        <v>120000</v>
      </c>
    </row>
    <row r="360" spans="1:10" ht="15.75">
      <c r="A360" s="9"/>
      <c r="B360" s="10"/>
      <c r="C360" s="11">
        <v>4300</v>
      </c>
      <c r="D360" s="12" t="s">
        <v>93</v>
      </c>
      <c r="E360" s="13">
        <v>179190</v>
      </c>
      <c r="F360" s="13"/>
      <c r="G360" s="13"/>
      <c r="H360" s="271">
        <f>E360+F360-G360</f>
        <v>179190</v>
      </c>
    </row>
    <row r="361" spans="1:10" ht="15.75">
      <c r="A361" s="9"/>
      <c r="B361" s="10">
        <v>85153</v>
      </c>
      <c r="C361" s="11"/>
      <c r="D361" s="12" t="s">
        <v>156</v>
      </c>
      <c r="E361" s="13">
        <f>SUM(E362:E366)</f>
        <v>12000</v>
      </c>
      <c r="F361" s="13">
        <f>SUM(F362:F366)</f>
        <v>0</v>
      </c>
      <c r="G361" s="13">
        <f>SUM(G362:G366)</f>
        <v>0</v>
      </c>
      <c r="H361" s="271">
        <f>SUM(H362:H366)</f>
        <v>12000</v>
      </c>
    </row>
    <row r="362" spans="1:10" ht="15.75">
      <c r="A362" s="9"/>
      <c r="B362" s="10"/>
      <c r="C362" s="11">
        <v>4110</v>
      </c>
      <c r="D362" s="12" t="s">
        <v>99</v>
      </c>
      <c r="E362" s="13">
        <v>1000</v>
      </c>
      <c r="F362" s="13"/>
      <c r="G362" s="13"/>
      <c r="H362" s="271">
        <f>E362+F362-G362</f>
        <v>1000</v>
      </c>
    </row>
    <row r="363" spans="1:10" ht="15.75">
      <c r="A363" s="9"/>
      <c r="B363" s="10"/>
      <c r="C363" s="11">
        <v>4120</v>
      </c>
      <c r="D363" s="12" t="s">
        <v>100</v>
      </c>
      <c r="E363" s="13">
        <v>1000</v>
      </c>
      <c r="F363" s="13"/>
      <c r="G363" s="13"/>
      <c r="H363" s="271">
        <f>E363+F363-G363</f>
        <v>1000</v>
      </c>
    </row>
    <row r="364" spans="1:10" ht="15.75">
      <c r="A364" s="9"/>
      <c r="B364" s="10"/>
      <c r="C364" s="11">
        <v>4170</v>
      </c>
      <c r="D364" s="12" t="s">
        <v>101</v>
      </c>
      <c r="E364" s="13">
        <v>1000</v>
      </c>
      <c r="F364" s="13"/>
      <c r="G364" s="13"/>
      <c r="H364" s="271">
        <f>E364+F364-G364</f>
        <v>1000</v>
      </c>
    </row>
    <row r="365" spans="1:10" ht="15.75">
      <c r="A365" s="9"/>
      <c r="B365" s="10"/>
      <c r="C365" s="11">
        <v>4210</v>
      </c>
      <c r="D365" s="12" t="s">
        <v>102</v>
      </c>
      <c r="E365" s="13">
        <v>2000</v>
      </c>
      <c r="F365" s="13"/>
      <c r="G365" s="13"/>
      <c r="H365" s="271">
        <f>E365+F365-G365</f>
        <v>2000</v>
      </c>
    </row>
    <row r="366" spans="1:10" ht="15.75">
      <c r="A366" s="9"/>
      <c r="B366" s="10"/>
      <c r="C366" s="11">
        <v>4300</v>
      </c>
      <c r="D366" s="12" t="s">
        <v>93</v>
      </c>
      <c r="E366" s="13">
        <f>2000+5000</f>
        <v>7000</v>
      </c>
      <c r="F366" s="13"/>
      <c r="G366" s="13"/>
      <c r="H366" s="271">
        <f>E366+F366-G366</f>
        <v>7000</v>
      </c>
    </row>
    <row r="367" spans="1:10" ht="15.75">
      <c r="A367" s="9"/>
      <c r="B367" s="10">
        <v>85154</v>
      </c>
      <c r="C367" s="11"/>
      <c r="D367" s="12" t="s">
        <v>157</v>
      </c>
      <c r="E367" s="13">
        <f>SUM(E368:E379)</f>
        <v>1337956.79</v>
      </c>
      <c r="F367" s="13">
        <f>SUM(F368:F379)</f>
        <v>0</v>
      </c>
      <c r="G367" s="13">
        <f>SUM(G368:G379)</f>
        <v>0</v>
      </c>
      <c r="H367" s="271">
        <f>SUM(H368:H379)</f>
        <v>1337956.79</v>
      </c>
    </row>
    <row r="368" spans="1:10" ht="15.75">
      <c r="A368" s="9"/>
      <c r="B368" s="10"/>
      <c r="C368" s="11">
        <v>4110</v>
      </c>
      <c r="D368" s="12" t="s">
        <v>99</v>
      </c>
      <c r="E368" s="13">
        <f>4000+5000</f>
        <v>9000</v>
      </c>
      <c r="F368" s="13"/>
      <c r="G368" s="13"/>
      <c r="H368" s="271">
        <f>E368+F368-G368</f>
        <v>9000</v>
      </c>
    </row>
    <row r="369" spans="1:8" ht="15.75">
      <c r="A369" s="9"/>
      <c r="B369" s="10"/>
      <c r="C369" s="11">
        <v>4120</v>
      </c>
      <c r="D369" s="12" t="s">
        <v>100</v>
      </c>
      <c r="E369" s="13">
        <v>1000</v>
      </c>
      <c r="F369" s="13"/>
      <c r="G369" s="13"/>
      <c r="H369" s="271">
        <f t="shared" ref="H369:H379" si="22">E369+F369-G369</f>
        <v>1000</v>
      </c>
    </row>
    <row r="370" spans="1:8" ht="15.75">
      <c r="A370" s="9"/>
      <c r="B370" s="10"/>
      <c r="C370" s="11">
        <v>4170</v>
      </c>
      <c r="D370" s="12" t="s">
        <v>101</v>
      </c>
      <c r="E370" s="13">
        <f>280000-2000-5000</f>
        <v>273000</v>
      </c>
      <c r="F370" s="13"/>
      <c r="G370" s="13"/>
      <c r="H370" s="271">
        <f t="shared" si="22"/>
        <v>273000</v>
      </c>
    </row>
    <row r="371" spans="1:8" ht="15.75">
      <c r="A371" s="9"/>
      <c r="B371" s="10"/>
      <c r="C371" s="11">
        <v>4210</v>
      </c>
      <c r="D371" s="12" t="s">
        <v>102</v>
      </c>
      <c r="E371" s="13">
        <v>240000</v>
      </c>
      <c r="F371" s="13"/>
      <c r="G371" s="13"/>
      <c r="H371" s="271">
        <f t="shared" si="22"/>
        <v>240000</v>
      </c>
    </row>
    <row r="372" spans="1:8" ht="15.75">
      <c r="A372" s="9"/>
      <c r="B372" s="10"/>
      <c r="C372" s="11">
        <v>4220</v>
      </c>
      <c r="D372" s="12" t="s">
        <v>122</v>
      </c>
      <c r="E372" s="13">
        <v>30000</v>
      </c>
      <c r="F372" s="13"/>
      <c r="G372" s="13"/>
      <c r="H372" s="271">
        <f t="shared" si="22"/>
        <v>30000</v>
      </c>
    </row>
    <row r="373" spans="1:8" ht="15.75">
      <c r="A373" s="9"/>
      <c r="B373" s="10"/>
      <c r="C373" s="11">
        <v>4300</v>
      </c>
      <c r="D373" s="12" t="s">
        <v>93</v>
      </c>
      <c r="E373" s="13">
        <f>440000+327956.79-102000</f>
        <v>665956.79</v>
      </c>
      <c r="F373" s="13"/>
      <c r="G373" s="13"/>
      <c r="H373" s="271">
        <f t="shared" si="22"/>
        <v>665956.79</v>
      </c>
    </row>
    <row r="374" spans="1:8" ht="15.75">
      <c r="A374" s="9"/>
      <c r="B374" s="10"/>
      <c r="C374" s="11">
        <v>4410</v>
      </c>
      <c r="D374" s="12" t="s">
        <v>125</v>
      </c>
      <c r="E374" s="13">
        <v>3000</v>
      </c>
      <c r="F374" s="13"/>
      <c r="G374" s="13"/>
      <c r="H374" s="271">
        <f t="shared" si="22"/>
        <v>3000</v>
      </c>
    </row>
    <row r="375" spans="1:8" ht="15.75">
      <c r="A375" s="9"/>
      <c r="B375" s="10"/>
      <c r="C375" s="11">
        <v>4430</v>
      </c>
      <c r="D375" s="12" t="s">
        <v>95</v>
      </c>
      <c r="E375" s="13">
        <v>1000</v>
      </c>
      <c r="F375" s="13"/>
      <c r="G375" s="13"/>
      <c r="H375" s="271">
        <f t="shared" si="22"/>
        <v>1000</v>
      </c>
    </row>
    <row r="376" spans="1:8" ht="15.75">
      <c r="A376" s="9"/>
      <c r="B376" s="10"/>
      <c r="C376" s="11">
        <v>4610</v>
      </c>
      <c r="D376" s="12" t="s">
        <v>115</v>
      </c>
      <c r="E376" s="13">
        <v>1000</v>
      </c>
      <c r="F376" s="13"/>
      <c r="G376" s="13"/>
      <c r="H376" s="271">
        <f t="shared" si="22"/>
        <v>1000</v>
      </c>
    </row>
    <row r="377" spans="1:8" ht="31.5">
      <c r="A377" s="9"/>
      <c r="B377" s="10"/>
      <c r="C377" s="11">
        <v>4700</v>
      </c>
      <c r="D377" s="12" t="s">
        <v>128</v>
      </c>
      <c r="E377" s="13">
        <v>10000</v>
      </c>
      <c r="F377" s="13"/>
      <c r="G377" s="13"/>
      <c r="H377" s="271">
        <f t="shared" si="22"/>
        <v>10000</v>
      </c>
    </row>
    <row r="378" spans="1:8" ht="15.75">
      <c r="A378" s="9"/>
      <c r="B378" s="10"/>
      <c r="C378" s="70">
        <v>4710</v>
      </c>
      <c r="D378" s="71" t="s">
        <v>103</v>
      </c>
      <c r="E378" s="13">
        <v>2000</v>
      </c>
      <c r="F378" s="13"/>
      <c r="G378" s="13"/>
      <c r="H378" s="271">
        <f t="shared" si="22"/>
        <v>2000</v>
      </c>
    </row>
    <row r="379" spans="1:8" ht="15.75">
      <c r="A379" s="9"/>
      <c r="B379" s="10"/>
      <c r="C379" s="11">
        <v>6050</v>
      </c>
      <c r="D379" s="71" t="s">
        <v>98</v>
      </c>
      <c r="E379" s="13">
        <v>102000</v>
      </c>
      <c r="F379" s="13"/>
      <c r="G379" s="13"/>
      <c r="H379" s="271">
        <f t="shared" si="22"/>
        <v>102000</v>
      </c>
    </row>
    <row r="380" spans="1:8" ht="15.75">
      <c r="A380" s="9"/>
      <c r="B380" s="10">
        <v>85158</v>
      </c>
      <c r="C380" s="11"/>
      <c r="D380" s="12" t="s">
        <v>158</v>
      </c>
      <c r="E380" s="13">
        <f>E381</f>
        <v>104143</v>
      </c>
      <c r="F380" s="13">
        <f>F381</f>
        <v>0</v>
      </c>
      <c r="G380" s="13">
        <f>G381</f>
        <v>0</v>
      </c>
      <c r="H380" s="271">
        <f>H381</f>
        <v>104143</v>
      </c>
    </row>
    <row r="381" spans="1:8" ht="47.25">
      <c r="A381" s="9"/>
      <c r="B381" s="10"/>
      <c r="C381" s="11">
        <v>2710</v>
      </c>
      <c r="D381" s="12" t="s">
        <v>106</v>
      </c>
      <c r="E381" s="13">
        <v>104143</v>
      </c>
      <c r="F381" s="13"/>
      <c r="G381" s="13"/>
      <c r="H381" s="271">
        <f>E381+F381-G381</f>
        <v>104143</v>
      </c>
    </row>
    <row r="382" spans="1:8" ht="15.75">
      <c r="A382" s="9"/>
      <c r="B382" s="10">
        <v>85195</v>
      </c>
      <c r="C382" s="11"/>
      <c r="D382" s="12" t="s">
        <v>8</v>
      </c>
      <c r="E382" s="13">
        <f>SUM(E383:E384)</f>
        <v>75000</v>
      </c>
      <c r="F382" s="13">
        <f>SUM(F383:F384)</f>
        <v>60000</v>
      </c>
      <c r="G382" s="13">
        <f>SUM(G383:G384)</f>
        <v>0</v>
      </c>
      <c r="H382" s="271">
        <f>SUM(H383:H384)</f>
        <v>135000</v>
      </c>
    </row>
    <row r="383" spans="1:8" ht="15.75">
      <c r="A383" s="9"/>
      <c r="B383" s="10"/>
      <c r="C383" s="11">
        <v>4210</v>
      </c>
      <c r="D383" s="12" t="s">
        <v>102</v>
      </c>
      <c r="E383" s="13">
        <v>5000</v>
      </c>
      <c r="F383" s="13">
        <v>60000</v>
      </c>
      <c r="G383" s="13"/>
      <c r="H383" s="271">
        <f>E383+F383-G383</f>
        <v>65000</v>
      </c>
    </row>
    <row r="384" spans="1:8" ht="15.75">
      <c r="A384" s="9"/>
      <c r="B384" s="10"/>
      <c r="C384" s="11">
        <v>4300</v>
      </c>
      <c r="D384" s="12" t="s">
        <v>93</v>
      </c>
      <c r="E384" s="13">
        <f>70000-35838+35838</f>
        <v>70000</v>
      </c>
      <c r="F384" s="13"/>
      <c r="G384" s="13"/>
      <c r="H384" s="271">
        <f>E384+F384-G384</f>
        <v>70000</v>
      </c>
    </row>
    <row r="385" spans="1:10" ht="15.75">
      <c r="A385" s="9"/>
      <c r="B385" s="10"/>
      <c r="C385" s="11"/>
      <c r="D385" s="12"/>
      <c r="E385" s="13"/>
      <c r="F385" s="13"/>
      <c r="G385" s="13"/>
      <c r="H385" s="271"/>
    </row>
    <row r="386" spans="1:10" ht="15.75">
      <c r="A386" s="9">
        <v>852</v>
      </c>
      <c r="B386" s="10"/>
      <c r="C386" s="11"/>
      <c r="D386" s="12" t="s">
        <v>67</v>
      </c>
      <c r="E386" s="13">
        <f>E387+E389+E398+E400+E402+E410+E412+E427+E429+E439+E463+E431</f>
        <v>5309853.1999999993</v>
      </c>
      <c r="F386" s="13">
        <f>F387+F389+F398+F400+F402+F410+F412+F427+F429+F439+F463+F431</f>
        <v>197290.2</v>
      </c>
      <c r="G386" s="13">
        <f>G387+G389+G398+G400+G402+G410+G412+G427+G429+G439+G463+G431</f>
        <v>32016.92</v>
      </c>
      <c r="H386" s="271">
        <f>H387+H389+H398+H400+H402+H410+H412+H427+H429+H439+H463+H431</f>
        <v>5475126.4799999995</v>
      </c>
      <c r="J386" s="23"/>
    </row>
    <row r="387" spans="1:10" ht="15.75">
      <c r="A387" s="9"/>
      <c r="B387" s="10">
        <v>85202</v>
      </c>
      <c r="C387" s="11"/>
      <c r="D387" s="12" t="s">
        <v>68</v>
      </c>
      <c r="E387" s="13">
        <f>E388</f>
        <v>720000</v>
      </c>
      <c r="F387" s="13">
        <f>F388</f>
        <v>0</v>
      </c>
      <c r="G387" s="13">
        <f>G388</f>
        <v>0</v>
      </c>
      <c r="H387" s="271">
        <f>H388</f>
        <v>720000</v>
      </c>
    </row>
    <row r="388" spans="1:10" ht="31.5">
      <c r="A388" s="9"/>
      <c r="B388" s="10"/>
      <c r="C388" s="11">
        <v>4330</v>
      </c>
      <c r="D388" s="12" t="s">
        <v>148</v>
      </c>
      <c r="E388" s="13">
        <v>720000</v>
      </c>
      <c r="F388" s="13"/>
      <c r="G388" s="13"/>
      <c r="H388" s="271">
        <f>E388+F388-G388</f>
        <v>720000</v>
      </c>
    </row>
    <row r="389" spans="1:10" ht="15.75">
      <c r="A389" s="9"/>
      <c r="B389" s="10">
        <v>85205</v>
      </c>
      <c r="C389" s="11"/>
      <c r="D389" s="12" t="s">
        <v>159</v>
      </c>
      <c r="E389" s="13">
        <f>SUM(E390:E397)</f>
        <v>16800</v>
      </c>
      <c r="F389" s="13">
        <f>SUM(F390:F397)</f>
        <v>0</v>
      </c>
      <c r="G389" s="13">
        <f>SUM(G390:G397)</f>
        <v>0</v>
      </c>
      <c r="H389" s="271">
        <f>SUM(H390:H397)</f>
        <v>16800</v>
      </c>
    </row>
    <row r="390" spans="1:10" ht="15.75">
      <c r="A390" s="9"/>
      <c r="B390" s="10"/>
      <c r="C390" s="11">
        <v>4010</v>
      </c>
      <c r="D390" s="12" t="s">
        <v>116</v>
      </c>
      <c r="E390" s="13">
        <f>15000-15000</f>
        <v>0</v>
      </c>
      <c r="F390" s="13"/>
      <c r="G390" s="13"/>
      <c r="H390" s="271">
        <f>E390+F390-G390</f>
        <v>0</v>
      </c>
    </row>
    <row r="391" spans="1:10" ht="15.75">
      <c r="A391" s="9"/>
      <c r="B391" s="10"/>
      <c r="C391" s="11">
        <v>4110</v>
      </c>
      <c r="D391" s="12" t="s">
        <v>99</v>
      </c>
      <c r="E391" s="13">
        <f>3000-3000</f>
        <v>0</v>
      </c>
      <c r="F391" s="13"/>
      <c r="G391" s="13"/>
      <c r="H391" s="271">
        <f t="shared" ref="H391:H397" si="23">E391+F391-G391</f>
        <v>0</v>
      </c>
    </row>
    <row r="392" spans="1:10" ht="15.75">
      <c r="A392" s="9"/>
      <c r="B392" s="10"/>
      <c r="C392" s="11">
        <v>4120</v>
      </c>
      <c r="D392" s="12" t="s">
        <v>100</v>
      </c>
      <c r="E392" s="13">
        <f>1000-1000</f>
        <v>0</v>
      </c>
      <c r="F392" s="13"/>
      <c r="G392" s="13"/>
      <c r="H392" s="271">
        <f t="shared" si="23"/>
        <v>0</v>
      </c>
    </row>
    <row r="393" spans="1:10" ht="15.75">
      <c r="A393" s="9"/>
      <c r="B393" s="10"/>
      <c r="C393" s="11">
        <v>4170</v>
      </c>
      <c r="D393" s="12" t="s">
        <v>101</v>
      </c>
      <c r="E393" s="13">
        <f>2000-2000</f>
        <v>0</v>
      </c>
      <c r="F393" s="13"/>
      <c r="G393" s="13"/>
      <c r="H393" s="271">
        <f t="shared" si="23"/>
        <v>0</v>
      </c>
    </row>
    <row r="394" spans="1:10" ht="15.75">
      <c r="A394" s="9"/>
      <c r="B394" s="10"/>
      <c r="C394" s="11">
        <v>4210</v>
      </c>
      <c r="D394" s="12" t="s">
        <v>102</v>
      </c>
      <c r="E394" s="13">
        <f>4800+6000</f>
        <v>10800</v>
      </c>
      <c r="F394" s="13"/>
      <c r="G394" s="13"/>
      <c r="H394" s="271">
        <f t="shared" si="23"/>
        <v>10800</v>
      </c>
    </row>
    <row r="395" spans="1:10" ht="15.75">
      <c r="A395" s="9"/>
      <c r="B395" s="10"/>
      <c r="C395" s="11">
        <v>4300</v>
      </c>
      <c r="D395" s="12" t="s">
        <v>93</v>
      </c>
      <c r="E395" s="13">
        <v>2000</v>
      </c>
      <c r="F395" s="13"/>
      <c r="G395" s="13"/>
      <c r="H395" s="271">
        <f t="shared" si="23"/>
        <v>2000</v>
      </c>
    </row>
    <row r="396" spans="1:10" ht="15.75">
      <c r="A396" s="9"/>
      <c r="B396" s="10"/>
      <c r="C396" s="11">
        <v>4360</v>
      </c>
      <c r="D396" s="12" t="s">
        <v>124</v>
      </c>
      <c r="E396" s="13">
        <f>1200-1200</f>
        <v>0</v>
      </c>
      <c r="F396" s="13"/>
      <c r="G396" s="13"/>
      <c r="H396" s="271">
        <f t="shared" si="23"/>
        <v>0</v>
      </c>
    </row>
    <row r="397" spans="1:10" ht="28.5" customHeight="1">
      <c r="A397" s="9"/>
      <c r="B397" s="10"/>
      <c r="C397" s="11">
        <v>4700</v>
      </c>
      <c r="D397" s="12" t="s">
        <v>128</v>
      </c>
      <c r="E397" s="13">
        <v>4000</v>
      </c>
      <c r="F397" s="13"/>
      <c r="G397" s="13"/>
      <c r="H397" s="271">
        <f t="shared" si="23"/>
        <v>4000</v>
      </c>
    </row>
    <row r="398" spans="1:10" ht="45.75" customHeight="1">
      <c r="A398" s="9"/>
      <c r="B398" s="10">
        <v>85213</v>
      </c>
      <c r="C398" s="11"/>
      <c r="D398" s="12" t="s">
        <v>69</v>
      </c>
      <c r="E398" s="13">
        <f>E399</f>
        <v>33800</v>
      </c>
      <c r="F398" s="13">
        <f>F399</f>
        <v>185</v>
      </c>
      <c r="G398" s="13">
        <f>G399</f>
        <v>0</v>
      </c>
      <c r="H398" s="271">
        <f>H399</f>
        <v>33985</v>
      </c>
    </row>
    <row r="399" spans="1:10" ht="15.75">
      <c r="A399" s="9"/>
      <c r="B399" s="10"/>
      <c r="C399" s="11">
        <v>4130</v>
      </c>
      <c r="D399" s="12" t="s">
        <v>160</v>
      </c>
      <c r="E399" s="13">
        <v>33800</v>
      </c>
      <c r="F399" s="13">
        <v>185</v>
      </c>
      <c r="G399" s="13"/>
      <c r="H399" s="271">
        <f>E399+F399-G399</f>
        <v>33985</v>
      </c>
    </row>
    <row r="400" spans="1:10" ht="31.5">
      <c r="A400" s="9"/>
      <c r="B400" s="10">
        <v>85214</v>
      </c>
      <c r="C400" s="11"/>
      <c r="D400" s="12" t="s">
        <v>70</v>
      </c>
      <c r="E400" s="13">
        <f>SUM(E401:E401)</f>
        <v>210000</v>
      </c>
      <c r="F400" s="13">
        <f>SUM(F401:F401)</f>
        <v>4231</v>
      </c>
      <c r="G400" s="13">
        <f>SUM(G401:G401)</f>
        <v>0</v>
      </c>
      <c r="H400" s="271">
        <f>SUM(H401:H401)</f>
        <v>214231</v>
      </c>
    </row>
    <row r="401" spans="1:8" ht="15.75">
      <c r="A401" s="9"/>
      <c r="B401" s="10"/>
      <c r="C401" s="11">
        <v>3110</v>
      </c>
      <c r="D401" s="12" t="s">
        <v>161</v>
      </c>
      <c r="E401" s="13">
        <v>210000</v>
      </c>
      <c r="F401" s="13">
        <v>4231</v>
      </c>
      <c r="G401" s="13"/>
      <c r="H401" s="271">
        <f>E401+F401-G401</f>
        <v>214231</v>
      </c>
    </row>
    <row r="402" spans="1:8" ht="15.75">
      <c r="A402" s="9"/>
      <c r="B402" s="10">
        <v>85215</v>
      </c>
      <c r="C402" s="11"/>
      <c r="D402" s="12" t="s">
        <v>71</v>
      </c>
      <c r="E402" s="13">
        <f>SUM(E403:E408)</f>
        <v>270201.00000000006</v>
      </c>
      <c r="F402" s="13">
        <f t="shared" ref="F402:H402" si="24">SUM(F403:F408)</f>
        <v>120806.09</v>
      </c>
      <c r="G402" s="13">
        <f t="shared" si="24"/>
        <v>0</v>
      </c>
      <c r="H402" s="402">
        <f t="shared" si="24"/>
        <v>391007.08999999997</v>
      </c>
    </row>
    <row r="403" spans="1:8" ht="15.75">
      <c r="A403" s="9"/>
      <c r="B403" s="10"/>
      <c r="C403" s="11">
        <v>3110</v>
      </c>
      <c r="D403" s="12" t="s">
        <v>161</v>
      </c>
      <c r="E403" s="13">
        <f>180000-30000+116700</f>
        <v>266700</v>
      </c>
      <c r="F403" s="13">
        <v>117287.47</v>
      </c>
      <c r="G403" s="13"/>
      <c r="H403" s="271">
        <f t="shared" ref="H403:H408" si="25">E403+F403-G403</f>
        <v>383987.47</v>
      </c>
    </row>
    <row r="404" spans="1:8" ht="15.75">
      <c r="A404" s="9"/>
      <c r="B404" s="10"/>
      <c r="C404" s="11">
        <v>4010</v>
      </c>
      <c r="D404" s="12" t="s">
        <v>116</v>
      </c>
      <c r="E404" s="13">
        <f>2919.7</f>
        <v>2919.7</v>
      </c>
      <c r="F404" s="13">
        <v>2080.3000000000002</v>
      </c>
      <c r="G404" s="13"/>
      <c r="H404" s="271">
        <f t="shared" si="25"/>
        <v>5000</v>
      </c>
    </row>
    <row r="405" spans="1:8" ht="15.75">
      <c r="A405" s="9"/>
      <c r="B405" s="10"/>
      <c r="C405" s="11">
        <v>4110</v>
      </c>
      <c r="D405" s="12" t="s">
        <v>99</v>
      </c>
      <c r="E405" s="13">
        <f>509.78</f>
        <v>509.78</v>
      </c>
      <c r="F405" s="13">
        <v>351.22</v>
      </c>
      <c r="G405" s="13"/>
      <c r="H405" s="271">
        <f t="shared" si="25"/>
        <v>861</v>
      </c>
    </row>
    <row r="406" spans="1:8" ht="15.75">
      <c r="A406" s="9"/>
      <c r="B406" s="10"/>
      <c r="C406" s="11">
        <v>4120</v>
      </c>
      <c r="D406" s="12" t="s">
        <v>100</v>
      </c>
      <c r="E406" s="13">
        <f>71.52</f>
        <v>71.52</v>
      </c>
      <c r="F406" s="13">
        <v>50.98</v>
      </c>
      <c r="G406" s="13"/>
      <c r="H406" s="271">
        <f t="shared" si="25"/>
        <v>122.5</v>
      </c>
    </row>
    <row r="407" spans="1:8" ht="15.75">
      <c r="A407" s="9"/>
      <c r="B407" s="10"/>
      <c r="C407" s="11">
        <v>4210</v>
      </c>
      <c r="D407" s="12" t="s">
        <v>102</v>
      </c>
      <c r="E407" s="13"/>
      <c r="F407" s="13">
        <v>56.72</v>
      </c>
      <c r="G407" s="13"/>
      <c r="H407" s="271">
        <f t="shared" si="25"/>
        <v>56.72</v>
      </c>
    </row>
    <row r="408" spans="1:8" ht="15.75">
      <c r="A408" s="9"/>
      <c r="B408" s="10"/>
      <c r="C408" s="11">
        <v>4300</v>
      </c>
      <c r="D408" s="12" t="s">
        <v>93</v>
      </c>
      <c r="E408" s="13"/>
      <c r="F408" s="13">
        <v>979.4</v>
      </c>
      <c r="G408" s="13"/>
      <c r="H408" s="271">
        <f t="shared" si="25"/>
        <v>979.4</v>
      </c>
    </row>
    <row r="409" spans="1:8" ht="15.75">
      <c r="A409" s="9"/>
      <c r="B409" s="10"/>
      <c r="C409" s="11"/>
      <c r="D409" s="12" t="s">
        <v>516</v>
      </c>
      <c r="E409" s="13"/>
      <c r="F409" s="13"/>
      <c r="G409" s="13"/>
      <c r="H409" s="271"/>
    </row>
    <row r="410" spans="1:8" ht="15.75">
      <c r="A410" s="9"/>
      <c r="B410" s="10">
        <v>85216</v>
      </c>
      <c r="C410" s="64"/>
      <c r="D410" s="12" t="s">
        <v>74</v>
      </c>
      <c r="E410" s="13">
        <f>E411</f>
        <v>203066</v>
      </c>
      <c r="F410" s="13">
        <f>F411</f>
        <v>23121</v>
      </c>
      <c r="G410" s="13">
        <f>G411</f>
        <v>0</v>
      </c>
      <c r="H410" s="271">
        <f>H411</f>
        <v>226187</v>
      </c>
    </row>
    <row r="411" spans="1:8" ht="15.75">
      <c r="A411" s="9"/>
      <c r="B411" s="10"/>
      <c r="C411" s="11">
        <v>3110</v>
      </c>
      <c r="D411" s="12" t="s">
        <v>161</v>
      </c>
      <c r="E411" s="13">
        <f>180000+3566+19500</f>
        <v>203066</v>
      </c>
      <c r="F411" s="13">
        <v>23121</v>
      </c>
      <c r="G411" s="13"/>
      <c r="H411" s="271">
        <f>E411+F411-G411</f>
        <v>226187</v>
      </c>
    </row>
    <row r="412" spans="1:8" ht="15.75">
      <c r="A412" s="9"/>
      <c r="B412" s="10">
        <v>85219</v>
      </c>
      <c r="C412" s="11"/>
      <c r="D412" s="12" t="s">
        <v>73</v>
      </c>
      <c r="E412" s="13">
        <f>SUM(E413:E426)</f>
        <v>1742736.8800000001</v>
      </c>
      <c r="F412" s="13">
        <f>SUM(F413:F426)</f>
        <v>40016.92</v>
      </c>
      <c r="G412" s="13">
        <f>SUM(G413:G426)</f>
        <v>26016.92</v>
      </c>
      <c r="H412" s="271">
        <f>SUM(H413:H426)</f>
        <v>1756736.8800000001</v>
      </c>
    </row>
    <row r="413" spans="1:8" ht="15.75">
      <c r="A413" s="9"/>
      <c r="B413" s="10"/>
      <c r="C413" s="11">
        <v>3020</v>
      </c>
      <c r="D413" s="12" t="s">
        <v>119</v>
      </c>
      <c r="E413" s="13">
        <v>10400</v>
      </c>
      <c r="F413" s="13"/>
      <c r="G413" s="13"/>
      <c r="H413" s="271">
        <f>E413+F413-G413</f>
        <v>10400</v>
      </c>
    </row>
    <row r="414" spans="1:8" ht="15.75">
      <c r="A414" s="9"/>
      <c r="B414" s="10"/>
      <c r="C414" s="11">
        <v>4010</v>
      </c>
      <c r="D414" s="12" t="s">
        <v>116</v>
      </c>
      <c r="E414" s="13">
        <f>1050000+29956+65500+121000</f>
        <v>1266456</v>
      </c>
      <c r="F414" s="13">
        <v>14000</v>
      </c>
      <c r="G414" s="13">
        <v>13325</v>
      </c>
      <c r="H414" s="271">
        <f t="shared" ref="H414:H425" si="26">E414+F414-G414</f>
        <v>1267131</v>
      </c>
    </row>
    <row r="415" spans="1:8" ht="15.75">
      <c r="A415" s="9"/>
      <c r="B415" s="10"/>
      <c r="C415" s="11">
        <v>4040</v>
      </c>
      <c r="D415" s="12" t="s">
        <v>120</v>
      </c>
      <c r="E415" s="13">
        <f>85000-6705-19293</f>
        <v>59002</v>
      </c>
      <c r="F415" s="13"/>
      <c r="G415" s="13"/>
      <c r="H415" s="271">
        <f t="shared" si="26"/>
        <v>59002</v>
      </c>
    </row>
    <row r="416" spans="1:8" ht="15.75">
      <c r="A416" s="9"/>
      <c r="B416" s="10"/>
      <c r="C416" s="11">
        <v>4110</v>
      </c>
      <c r="D416" s="12" t="s">
        <v>99</v>
      </c>
      <c r="E416" s="13">
        <f>190000+11279.1+11263</f>
        <v>212542.1</v>
      </c>
      <c r="F416" s="13">
        <v>8265</v>
      </c>
      <c r="G416" s="13"/>
      <c r="H416" s="271">
        <f t="shared" si="26"/>
        <v>220807.1</v>
      </c>
    </row>
    <row r="417" spans="1:8" ht="15.75">
      <c r="A417" s="9"/>
      <c r="B417" s="10"/>
      <c r="C417" s="11">
        <v>4120</v>
      </c>
      <c r="D417" s="12" t="s">
        <v>100</v>
      </c>
      <c r="E417" s="13">
        <f>32000+1604.78-4098</f>
        <v>29506.78</v>
      </c>
      <c r="F417" s="13">
        <v>1909</v>
      </c>
      <c r="G417" s="13"/>
      <c r="H417" s="271">
        <f t="shared" si="26"/>
        <v>31415.78</v>
      </c>
    </row>
    <row r="418" spans="1:8" ht="15.75">
      <c r="A418" s="9"/>
      <c r="B418" s="10"/>
      <c r="C418" s="11">
        <v>4210</v>
      </c>
      <c r="D418" s="12" t="s">
        <v>102</v>
      </c>
      <c r="E418" s="13">
        <f>25000-100</f>
        <v>24900</v>
      </c>
      <c r="F418" s="13"/>
      <c r="G418" s="13">
        <v>8000</v>
      </c>
      <c r="H418" s="271">
        <f t="shared" si="26"/>
        <v>16900</v>
      </c>
    </row>
    <row r="419" spans="1:8" ht="15.75">
      <c r="A419" s="9"/>
      <c r="B419" s="10"/>
      <c r="C419" s="11">
        <v>4280</v>
      </c>
      <c r="D419" s="12" t="s">
        <v>123</v>
      </c>
      <c r="E419" s="13">
        <f>1200+100</f>
        <v>1300</v>
      </c>
      <c r="F419" s="13"/>
      <c r="G419" s="13"/>
      <c r="H419" s="271">
        <f t="shared" si="26"/>
        <v>1300</v>
      </c>
    </row>
    <row r="420" spans="1:8" ht="15.75">
      <c r="A420" s="9"/>
      <c r="B420" s="10"/>
      <c r="C420" s="11">
        <v>4300</v>
      </c>
      <c r="D420" s="12" t="s">
        <v>93</v>
      </c>
      <c r="E420" s="13">
        <v>50000</v>
      </c>
      <c r="F420" s="13">
        <v>12000</v>
      </c>
      <c r="G420" s="13"/>
      <c r="H420" s="271">
        <f t="shared" si="26"/>
        <v>62000</v>
      </c>
    </row>
    <row r="421" spans="1:8" ht="15.75">
      <c r="A421" s="9"/>
      <c r="B421" s="10"/>
      <c r="C421" s="11">
        <v>4360</v>
      </c>
      <c r="D421" s="12" t="s">
        <v>124</v>
      </c>
      <c r="E421" s="13">
        <v>7000</v>
      </c>
      <c r="F421" s="13"/>
      <c r="G421" s="13">
        <v>2000</v>
      </c>
      <c r="H421" s="271">
        <f t="shared" si="26"/>
        <v>5000</v>
      </c>
    </row>
    <row r="422" spans="1:8" ht="15.75">
      <c r="A422" s="9"/>
      <c r="B422" s="10"/>
      <c r="C422" s="11">
        <v>4410</v>
      </c>
      <c r="D422" s="12" t="s">
        <v>125</v>
      </c>
      <c r="E422" s="13">
        <v>18000</v>
      </c>
      <c r="F422" s="13"/>
      <c r="G422" s="13">
        <v>2000</v>
      </c>
      <c r="H422" s="271">
        <f t="shared" si="26"/>
        <v>16000</v>
      </c>
    </row>
    <row r="423" spans="1:8" ht="15.75">
      <c r="A423" s="9"/>
      <c r="B423" s="10"/>
      <c r="C423" s="11">
        <v>4430</v>
      </c>
      <c r="D423" s="12" t="s">
        <v>95</v>
      </c>
      <c r="E423" s="13">
        <v>10000</v>
      </c>
      <c r="F423" s="13"/>
      <c r="G423" s="13">
        <v>691.92</v>
      </c>
      <c r="H423" s="271">
        <f t="shared" si="26"/>
        <v>9308.08</v>
      </c>
    </row>
    <row r="424" spans="1:8" ht="15.75">
      <c r="A424" s="9"/>
      <c r="B424" s="10"/>
      <c r="C424" s="11">
        <v>4440</v>
      </c>
      <c r="D424" s="12" t="s">
        <v>127</v>
      </c>
      <c r="E424" s="13">
        <f>22100+6705</f>
        <v>28805</v>
      </c>
      <c r="F424" s="13">
        <v>796.92</v>
      </c>
      <c r="G424" s="13"/>
      <c r="H424" s="271">
        <f t="shared" si="26"/>
        <v>29601.919999999998</v>
      </c>
    </row>
    <row r="425" spans="1:8" ht="27.75" customHeight="1">
      <c r="A425" s="9"/>
      <c r="B425" s="10"/>
      <c r="C425" s="11">
        <v>4700</v>
      </c>
      <c r="D425" s="12" t="s">
        <v>128</v>
      </c>
      <c r="E425" s="13">
        <f>9000+7000</f>
        <v>16000</v>
      </c>
      <c r="F425" s="13"/>
      <c r="G425" s="13"/>
      <c r="H425" s="271">
        <f t="shared" si="26"/>
        <v>16000</v>
      </c>
    </row>
    <row r="426" spans="1:8" ht="15.75">
      <c r="A426" s="9"/>
      <c r="B426" s="10"/>
      <c r="C426" s="11">
        <v>4710</v>
      </c>
      <c r="D426" s="12" t="s">
        <v>103</v>
      </c>
      <c r="E426" s="13">
        <f>8000+825</f>
        <v>8825</v>
      </c>
      <c r="F426" s="13">
        <v>3046</v>
      </c>
      <c r="G426" s="13"/>
      <c r="H426" s="271">
        <f>E426+F426-G426</f>
        <v>11871</v>
      </c>
    </row>
    <row r="427" spans="1:8" ht="15.75">
      <c r="A427" s="9"/>
      <c r="B427" s="10">
        <v>85228</v>
      </c>
      <c r="C427" s="11"/>
      <c r="D427" s="12" t="s">
        <v>74</v>
      </c>
      <c r="E427" s="13">
        <f>SUM(E428:E428)</f>
        <v>161186</v>
      </c>
      <c r="F427" s="13">
        <f>SUM(F428:F428)</f>
        <v>0</v>
      </c>
      <c r="G427" s="13">
        <f>SUM(G428:G428)</f>
        <v>0</v>
      </c>
      <c r="H427" s="271">
        <f>SUM(H428:H428)</f>
        <v>161186</v>
      </c>
    </row>
    <row r="428" spans="1:8" ht="15.75">
      <c r="A428" s="9"/>
      <c r="B428" s="10"/>
      <c r="C428" s="11">
        <v>4300</v>
      </c>
      <c r="D428" s="12" t="s">
        <v>93</v>
      </c>
      <c r="E428" s="13">
        <f>260000-98814</f>
        <v>161186</v>
      </c>
      <c r="F428" s="13"/>
      <c r="G428" s="13"/>
      <c r="H428" s="271">
        <f>E428+F428-G428</f>
        <v>161186</v>
      </c>
    </row>
    <row r="429" spans="1:8" ht="15.75">
      <c r="A429" s="9"/>
      <c r="B429" s="10">
        <v>85230</v>
      </c>
      <c r="C429" s="11"/>
      <c r="D429" s="12" t="s">
        <v>75</v>
      </c>
      <c r="E429" s="13">
        <f>E430</f>
        <v>240287.71</v>
      </c>
      <c r="F429" s="13">
        <f>F430</f>
        <v>0</v>
      </c>
      <c r="G429" s="13">
        <f>G430</f>
        <v>0</v>
      </c>
      <c r="H429" s="271">
        <f>H430</f>
        <v>240287.71</v>
      </c>
    </row>
    <row r="430" spans="1:8" ht="15.75">
      <c r="A430" s="9"/>
      <c r="B430" s="10"/>
      <c r="C430" s="11">
        <v>3110</v>
      </c>
      <c r="D430" s="12" t="s">
        <v>161</v>
      </c>
      <c r="E430" s="13">
        <f>180000+35056.82+13366.81+11864.08</f>
        <v>240287.71</v>
      </c>
      <c r="F430" s="13"/>
      <c r="G430" s="13"/>
      <c r="H430" s="271">
        <f>E430+F430-G430</f>
        <v>240287.71</v>
      </c>
    </row>
    <row r="431" spans="1:8" ht="15.75">
      <c r="A431" s="62"/>
      <c r="B431" s="10">
        <v>85231</v>
      </c>
      <c r="C431" s="11"/>
      <c r="D431" s="12" t="s">
        <v>318</v>
      </c>
      <c r="E431" s="13">
        <f>SUM(E432:E438)</f>
        <v>615463.68999999994</v>
      </c>
      <c r="F431" s="13">
        <f>SUM(F432:F438)</f>
        <v>2930.19</v>
      </c>
      <c r="G431" s="13">
        <f>SUM(G432:G438)</f>
        <v>0</v>
      </c>
      <c r="H431" s="13">
        <f>SUM(H432:H438)</f>
        <v>618393.87999999989</v>
      </c>
    </row>
    <row r="432" spans="1:8" ht="15.75">
      <c r="A432" s="9"/>
      <c r="B432" s="10"/>
      <c r="C432" s="11">
        <v>3280</v>
      </c>
      <c r="D432" s="12" t="s">
        <v>320</v>
      </c>
      <c r="E432" s="13">
        <f>12621+27299+58600+90240+46400+30720+36040+129000-132840</f>
        <v>298080</v>
      </c>
      <c r="F432" s="13"/>
      <c r="G432" s="13"/>
      <c r="H432" s="271">
        <f t="shared" ref="H432:H438" si="27">E432+F432-G432</f>
        <v>298080</v>
      </c>
    </row>
    <row r="433" spans="1:8" ht="29.25" customHeight="1">
      <c r="A433" s="9"/>
      <c r="B433" s="10"/>
      <c r="C433" s="11">
        <v>3290</v>
      </c>
      <c r="D433" s="71" t="s">
        <v>326</v>
      </c>
      <c r="E433" s="13">
        <f>18562.18+15101.39+66708.8+20679.92+4901.96+4135.6+129417+1450.42+18812.29</f>
        <v>279769.56</v>
      </c>
      <c r="F433" s="13">
        <v>2480.5500000000002</v>
      </c>
      <c r="G433" s="13"/>
      <c r="H433" s="271">
        <f t="shared" si="27"/>
        <v>282250.11</v>
      </c>
    </row>
    <row r="434" spans="1:8" ht="31.5">
      <c r="A434" s="9"/>
      <c r="B434" s="10"/>
      <c r="C434" s="11">
        <v>4350</v>
      </c>
      <c r="D434" s="71" t="s">
        <v>323</v>
      </c>
      <c r="E434" s="13">
        <f>379+442.82+894.61+282.83+58.82+98.04+176+3523-3950.12</f>
        <v>1905</v>
      </c>
      <c r="F434" s="13"/>
      <c r="G434" s="13"/>
      <c r="H434" s="271">
        <f t="shared" si="27"/>
        <v>1905</v>
      </c>
    </row>
    <row r="435" spans="1:8" ht="15.75">
      <c r="A435" s="9"/>
      <c r="B435" s="10"/>
      <c r="C435" s="11">
        <v>4370</v>
      </c>
      <c r="D435" s="12" t="s">
        <v>348</v>
      </c>
      <c r="E435" s="13">
        <f>1758+436.89</f>
        <v>2194.89</v>
      </c>
      <c r="F435" s="13"/>
      <c r="G435" s="13"/>
      <c r="H435" s="271">
        <f t="shared" si="27"/>
        <v>2194.89</v>
      </c>
    </row>
    <row r="436" spans="1:8" ht="26.25" customHeight="1">
      <c r="A436" s="9"/>
      <c r="B436" s="10"/>
      <c r="C436" s="11">
        <v>4740</v>
      </c>
      <c r="D436" s="12" t="s">
        <v>319</v>
      </c>
      <c r="E436" s="13">
        <f>410+410+502.48+860+3783.71</f>
        <v>5966.1900000000005</v>
      </c>
      <c r="F436" s="13"/>
      <c r="G436" s="13"/>
      <c r="H436" s="271">
        <f t="shared" si="27"/>
        <v>5966.1900000000005</v>
      </c>
    </row>
    <row r="437" spans="1:8" ht="31.5" customHeight="1">
      <c r="A437" s="9"/>
      <c r="B437" s="10"/>
      <c r="C437" s="11">
        <v>4850</v>
      </c>
      <c r="D437" s="12" t="s">
        <v>322</v>
      </c>
      <c r="E437" s="13">
        <f>86+86+105.52+180+745.2</f>
        <v>1202.72</v>
      </c>
      <c r="F437" s="13"/>
      <c r="G437" s="13"/>
      <c r="H437" s="271">
        <f t="shared" si="27"/>
        <v>1202.72</v>
      </c>
    </row>
    <row r="438" spans="1:8" ht="30.75" customHeight="1">
      <c r="A438" s="9"/>
      <c r="B438" s="10"/>
      <c r="C438" s="11">
        <v>4860</v>
      </c>
      <c r="D438" s="12" t="s">
        <v>477</v>
      </c>
      <c r="E438" s="13">
        <v>26345.33</v>
      </c>
      <c r="F438" s="13">
        <v>449.64</v>
      </c>
      <c r="G438" s="13"/>
      <c r="H438" s="271">
        <f t="shared" si="27"/>
        <v>26794.97</v>
      </c>
    </row>
    <row r="439" spans="1:8" ht="15.75">
      <c r="A439" s="9"/>
      <c r="B439" s="10">
        <v>85232</v>
      </c>
      <c r="C439" s="11"/>
      <c r="D439" s="12" t="s">
        <v>76</v>
      </c>
      <c r="E439" s="13">
        <f>SUM(E440:E462)</f>
        <v>905870</v>
      </c>
      <c r="F439" s="13">
        <f>SUM(F440:F462)</f>
        <v>6000</v>
      </c>
      <c r="G439" s="13">
        <f>SUM(G440:G462)</f>
        <v>6000</v>
      </c>
      <c r="H439" s="13">
        <f>SUM(H440:H462)</f>
        <v>905870</v>
      </c>
    </row>
    <row r="440" spans="1:8" ht="15.75">
      <c r="A440" s="9"/>
      <c r="B440" s="10"/>
      <c r="C440" s="11">
        <v>3020</v>
      </c>
      <c r="D440" s="12" t="s">
        <v>119</v>
      </c>
      <c r="E440" s="13">
        <v>2400</v>
      </c>
      <c r="F440" s="13"/>
      <c r="G440" s="13"/>
      <c r="H440" s="271">
        <f>E440+F440-G440</f>
        <v>2400</v>
      </c>
    </row>
    <row r="441" spans="1:8" ht="15.75">
      <c r="A441" s="9"/>
      <c r="B441" s="10"/>
      <c r="C441" s="11">
        <v>3110</v>
      </c>
      <c r="D441" s="12" t="s">
        <v>161</v>
      </c>
      <c r="E441" s="13">
        <v>20000</v>
      </c>
      <c r="F441" s="13"/>
      <c r="G441" s="13"/>
      <c r="H441" s="271">
        <f>E441+F441-G441</f>
        <v>20000</v>
      </c>
    </row>
    <row r="442" spans="1:8" ht="15.75">
      <c r="A442" s="9"/>
      <c r="B442" s="10"/>
      <c r="C442" s="11">
        <v>4010</v>
      </c>
      <c r="D442" s="12" t="s">
        <v>116</v>
      </c>
      <c r="E442" s="13">
        <f>326026-20000</f>
        <v>306026</v>
      </c>
      <c r="F442" s="13"/>
      <c r="G442" s="13"/>
      <c r="H442" s="271">
        <f t="shared" ref="H442:H462" si="28">E442+F442-G442</f>
        <v>306026</v>
      </c>
    </row>
    <row r="443" spans="1:8" ht="15.75">
      <c r="A443" s="9"/>
      <c r="B443" s="10"/>
      <c r="C443" s="11">
        <v>4040</v>
      </c>
      <c r="D443" s="12" t="s">
        <v>120</v>
      </c>
      <c r="E443" s="13">
        <v>18400</v>
      </c>
      <c r="F443" s="13"/>
      <c r="G443" s="13"/>
      <c r="H443" s="271">
        <f t="shared" si="28"/>
        <v>18400</v>
      </c>
    </row>
    <row r="444" spans="1:8" ht="15.75">
      <c r="A444" s="9"/>
      <c r="B444" s="10"/>
      <c r="C444" s="11">
        <v>4110</v>
      </c>
      <c r="D444" s="12" t="s">
        <v>99</v>
      </c>
      <c r="E444" s="13">
        <v>65511</v>
      </c>
      <c r="F444" s="13"/>
      <c r="G444" s="13"/>
      <c r="H444" s="271">
        <f t="shared" si="28"/>
        <v>65511</v>
      </c>
    </row>
    <row r="445" spans="1:8" ht="15.75">
      <c r="A445" s="9"/>
      <c r="B445" s="10"/>
      <c r="C445" s="11">
        <v>4120</v>
      </c>
      <c r="D445" s="12" t="s">
        <v>100</v>
      </c>
      <c r="E445" s="13">
        <v>8209</v>
      </c>
      <c r="F445" s="13"/>
      <c r="G445" s="13"/>
      <c r="H445" s="271">
        <f t="shared" si="28"/>
        <v>8209</v>
      </c>
    </row>
    <row r="446" spans="1:8" ht="15.75">
      <c r="A446" s="9"/>
      <c r="B446" s="10"/>
      <c r="C446" s="11">
        <v>4170</v>
      </c>
      <c r="D446" s="12" t="s">
        <v>101</v>
      </c>
      <c r="E446" s="13">
        <v>20000</v>
      </c>
      <c r="F446" s="13"/>
      <c r="G446" s="13">
        <v>6000</v>
      </c>
      <c r="H446" s="271">
        <f t="shared" si="28"/>
        <v>14000</v>
      </c>
    </row>
    <row r="447" spans="1:8" ht="15.75">
      <c r="A447" s="9"/>
      <c r="B447" s="10"/>
      <c r="C447" s="11">
        <v>4210</v>
      </c>
      <c r="D447" s="12" t="s">
        <v>102</v>
      </c>
      <c r="E447" s="13">
        <f>101300-25000</f>
        <v>76300</v>
      </c>
      <c r="F447" s="13">
        <v>4000</v>
      </c>
      <c r="G447" s="13"/>
      <c r="H447" s="271">
        <f t="shared" si="28"/>
        <v>80300</v>
      </c>
    </row>
    <row r="448" spans="1:8" ht="15.75">
      <c r="A448" s="9"/>
      <c r="B448" s="10"/>
      <c r="C448" s="11">
        <v>4217</v>
      </c>
      <c r="D448" s="12" t="s">
        <v>102</v>
      </c>
      <c r="E448" s="13">
        <v>3000</v>
      </c>
      <c r="F448" s="13"/>
      <c r="G448" s="13"/>
      <c r="H448" s="271">
        <f t="shared" si="28"/>
        <v>3000</v>
      </c>
    </row>
    <row r="449" spans="1:8" ht="15.75">
      <c r="A449" s="9"/>
      <c r="B449" s="10"/>
      <c r="C449" s="11">
        <v>4219</v>
      </c>
      <c r="D449" s="12" t="s">
        <v>102</v>
      </c>
      <c r="E449" s="13">
        <v>690</v>
      </c>
      <c r="F449" s="13"/>
      <c r="G449" s="13"/>
      <c r="H449" s="271">
        <f t="shared" si="28"/>
        <v>690</v>
      </c>
    </row>
    <row r="450" spans="1:8" ht="15.75">
      <c r="A450" s="9"/>
      <c r="B450" s="10"/>
      <c r="C450" s="11">
        <v>4260</v>
      </c>
      <c r="D450" s="12" t="s">
        <v>111</v>
      </c>
      <c r="E450" s="13">
        <f>31000-2400-12141</f>
        <v>16459</v>
      </c>
      <c r="F450" s="13"/>
      <c r="G450" s="13"/>
      <c r="H450" s="271">
        <f t="shared" si="28"/>
        <v>16459</v>
      </c>
    </row>
    <row r="451" spans="1:8" ht="15.75">
      <c r="A451" s="9"/>
      <c r="B451" s="10"/>
      <c r="C451" s="11">
        <v>4280</v>
      </c>
      <c r="D451" s="12" t="s">
        <v>123</v>
      </c>
      <c r="E451" s="13">
        <v>3000</v>
      </c>
      <c r="F451" s="13">
        <v>1000</v>
      </c>
      <c r="G451" s="13"/>
      <c r="H451" s="271">
        <f t="shared" si="28"/>
        <v>4000</v>
      </c>
    </row>
    <row r="452" spans="1:8" ht="15.75">
      <c r="A452" s="9"/>
      <c r="B452" s="10"/>
      <c r="C452" s="11">
        <v>4300</v>
      </c>
      <c r="D452" s="12" t="s">
        <v>93</v>
      </c>
      <c r="E452" s="13">
        <f>98000+2390-14100+40000</f>
        <v>126290</v>
      </c>
      <c r="F452" s="13"/>
      <c r="G452" s="13"/>
      <c r="H452" s="271">
        <f t="shared" si="28"/>
        <v>126290</v>
      </c>
    </row>
    <row r="453" spans="1:8" ht="15.75">
      <c r="A453" s="9"/>
      <c r="B453" s="10"/>
      <c r="C453" s="11">
        <v>4360</v>
      </c>
      <c r="D453" s="12" t="s">
        <v>124</v>
      </c>
      <c r="E453" s="13">
        <v>2500</v>
      </c>
      <c r="F453" s="65"/>
      <c r="G453" s="65"/>
      <c r="H453" s="271">
        <f t="shared" si="28"/>
        <v>2500</v>
      </c>
    </row>
    <row r="454" spans="1:8" ht="15.75">
      <c r="A454" s="9"/>
      <c r="B454" s="10"/>
      <c r="C454" s="11">
        <v>4410</v>
      </c>
      <c r="D454" s="12" t="s">
        <v>125</v>
      </c>
      <c r="E454" s="13">
        <v>3000</v>
      </c>
      <c r="F454" s="65"/>
      <c r="G454" s="65"/>
      <c r="H454" s="271">
        <f t="shared" si="28"/>
        <v>3000</v>
      </c>
    </row>
    <row r="455" spans="1:8" ht="15.75">
      <c r="A455" s="9"/>
      <c r="B455" s="10"/>
      <c r="C455" s="11">
        <v>4430</v>
      </c>
      <c r="D455" s="12" t="s">
        <v>95</v>
      </c>
      <c r="E455" s="13">
        <v>13800</v>
      </c>
      <c r="F455" s="13">
        <v>1000</v>
      </c>
      <c r="G455" s="65"/>
      <c r="H455" s="271">
        <f t="shared" si="28"/>
        <v>14800</v>
      </c>
    </row>
    <row r="456" spans="1:8" ht="15.75">
      <c r="A456" s="9"/>
      <c r="B456" s="10"/>
      <c r="C456" s="11">
        <v>4440</v>
      </c>
      <c r="D456" s="12" t="s">
        <v>127</v>
      </c>
      <c r="E456" s="13">
        <v>8375</v>
      </c>
      <c r="F456" s="65"/>
      <c r="G456" s="65"/>
      <c r="H456" s="271">
        <f t="shared" si="28"/>
        <v>8375</v>
      </c>
    </row>
    <row r="457" spans="1:8" ht="28.5" customHeight="1">
      <c r="A457" s="9"/>
      <c r="B457" s="10"/>
      <c r="C457" s="11">
        <v>4700</v>
      </c>
      <c r="D457" s="12" t="s">
        <v>128</v>
      </c>
      <c r="E457" s="13">
        <v>5000</v>
      </c>
      <c r="F457" s="65"/>
      <c r="G457" s="65"/>
      <c r="H457" s="271">
        <f t="shared" si="28"/>
        <v>5000</v>
      </c>
    </row>
    <row r="458" spans="1:8" ht="15.75">
      <c r="A458" s="9"/>
      <c r="B458" s="10"/>
      <c r="C458" s="11">
        <v>4710</v>
      </c>
      <c r="D458" s="12" t="s">
        <v>103</v>
      </c>
      <c r="E458" s="13">
        <v>1500</v>
      </c>
      <c r="F458" s="65"/>
      <c r="G458" s="65"/>
      <c r="H458" s="271">
        <f t="shared" si="28"/>
        <v>1500</v>
      </c>
    </row>
    <row r="459" spans="1:8" ht="15.75">
      <c r="A459" s="9"/>
      <c r="B459" s="10"/>
      <c r="C459" s="11">
        <v>6057</v>
      </c>
      <c r="D459" s="71" t="s">
        <v>98</v>
      </c>
      <c r="E459" s="13">
        <f>138000-109000</f>
        <v>29000</v>
      </c>
      <c r="F459" s="13"/>
      <c r="G459" s="13"/>
      <c r="H459" s="271">
        <f t="shared" si="28"/>
        <v>29000</v>
      </c>
    </row>
    <row r="460" spans="1:8" ht="15.75">
      <c r="A460" s="9"/>
      <c r="B460" s="10"/>
      <c r="C460" s="11">
        <v>6059</v>
      </c>
      <c r="D460" s="71" t="s">
        <v>98</v>
      </c>
      <c r="E460" s="13">
        <f>31740-25070</f>
        <v>6670</v>
      </c>
      <c r="F460" s="13"/>
      <c r="G460" s="13"/>
      <c r="H460" s="271">
        <f t="shared" si="28"/>
        <v>6670</v>
      </c>
    </row>
    <row r="461" spans="1:8" ht="15.75">
      <c r="A461" s="9"/>
      <c r="B461" s="10"/>
      <c r="C461" s="11">
        <v>6067</v>
      </c>
      <c r="D461" s="12" t="s">
        <v>112</v>
      </c>
      <c r="E461" s="13">
        <f>29000+109000</f>
        <v>138000</v>
      </c>
      <c r="F461" s="13"/>
      <c r="G461" s="13"/>
      <c r="H461" s="271">
        <f t="shared" si="28"/>
        <v>138000</v>
      </c>
    </row>
    <row r="462" spans="1:8" ht="15.75">
      <c r="A462" s="9"/>
      <c r="B462" s="10"/>
      <c r="C462" s="11">
        <v>6069</v>
      </c>
      <c r="D462" s="12" t="s">
        <v>112</v>
      </c>
      <c r="E462" s="13">
        <f>6670+25070</f>
        <v>31740</v>
      </c>
      <c r="F462" s="13"/>
      <c r="G462" s="13"/>
      <c r="H462" s="271">
        <f t="shared" si="28"/>
        <v>31740</v>
      </c>
    </row>
    <row r="463" spans="1:8" ht="15.75">
      <c r="A463" s="44"/>
      <c r="B463" s="10">
        <v>85295</v>
      </c>
      <c r="C463" s="11"/>
      <c r="D463" s="12" t="s">
        <v>8</v>
      </c>
      <c r="E463" s="13">
        <f>SUM(E464:E468)</f>
        <v>190441.92</v>
      </c>
      <c r="F463" s="13">
        <f>SUM(F464:F468)</f>
        <v>0</v>
      </c>
      <c r="G463" s="13">
        <f>SUM(G464:G468)</f>
        <v>0</v>
      </c>
      <c r="H463" s="271">
        <f>SUM(H464:H468)</f>
        <v>190441.92</v>
      </c>
    </row>
    <row r="464" spans="1:8" ht="62.25" customHeight="1">
      <c r="A464" s="44"/>
      <c r="B464" s="10"/>
      <c r="C464" s="11">
        <v>2360</v>
      </c>
      <c r="D464" s="12" t="s">
        <v>475</v>
      </c>
      <c r="E464" s="13">
        <f>35000+9000+20000</f>
        <v>64000</v>
      </c>
      <c r="F464" s="13"/>
      <c r="G464" s="13"/>
      <c r="H464" s="271">
        <f>E464+F464-G464</f>
        <v>64000</v>
      </c>
    </row>
    <row r="465" spans="1:10" ht="15.75">
      <c r="A465" s="44"/>
      <c r="B465" s="10"/>
      <c r="C465" s="11">
        <v>3110</v>
      </c>
      <c r="D465" s="12" t="s">
        <v>161</v>
      </c>
      <c r="E465" s="13">
        <f>64464.4+30682.58</f>
        <v>95146.98000000001</v>
      </c>
      <c r="F465" s="13"/>
      <c r="G465" s="13"/>
      <c r="H465" s="271">
        <f>E465+F465-G465</f>
        <v>95146.98000000001</v>
      </c>
    </row>
    <row r="466" spans="1:10" ht="15.75">
      <c r="A466" s="9"/>
      <c r="B466" s="10"/>
      <c r="C466" s="11">
        <v>4210</v>
      </c>
      <c r="D466" s="12" t="s">
        <v>161</v>
      </c>
      <c r="E466" s="13">
        <v>4392</v>
      </c>
      <c r="F466" s="13"/>
      <c r="G466" s="13"/>
      <c r="H466" s="271">
        <f>E466+F466-G466</f>
        <v>4392</v>
      </c>
    </row>
    <row r="467" spans="1:10" ht="15.75">
      <c r="A467" s="9"/>
      <c r="B467" s="10"/>
      <c r="C467" s="11">
        <v>4300</v>
      </c>
      <c r="D467" s="12" t="s">
        <v>93</v>
      </c>
      <c r="E467" s="13">
        <f>1289.29+613.65+25000</f>
        <v>26902.94</v>
      </c>
      <c r="F467" s="13"/>
      <c r="G467" s="13"/>
      <c r="H467" s="271">
        <f>E467+F467-G467</f>
        <v>26902.94</v>
      </c>
    </row>
    <row r="468" spans="1:10" ht="15.75">
      <c r="A468" s="62"/>
      <c r="B468" s="63"/>
      <c r="C468" s="64"/>
      <c r="D468" s="12" t="s">
        <v>474</v>
      </c>
      <c r="E468" s="65"/>
      <c r="F468" s="65"/>
      <c r="G468" s="65"/>
      <c r="H468" s="299"/>
    </row>
    <row r="469" spans="1:10" ht="15.75">
      <c r="A469" s="9">
        <v>853</v>
      </c>
      <c r="B469" s="10"/>
      <c r="C469" s="11"/>
      <c r="D469" s="12" t="s">
        <v>77</v>
      </c>
      <c r="E469" s="13">
        <f>E470</f>
        <v>296947.54000000004</v>
      </c>
      <c r="F469" s="13">
        <f>F470</f>
        <v>1581.41</v>
      </c>
      <c r="G469" s="13">
        <f>G470</f>
        <v>0</v>
      </c>
      <c r="H469" s="271">
        <f>H470</f>
        <v>298528.95</v>
      </c>
    </row>
    <row r="470" spans="1:10" ht="15.75">
      <c r="A470" s="9"/>
      <c r="B470" s="10">
        <v>85395</v>
      </c>
      <c r="C470" s="11"/>
      <c r="D470" s="12" t="s">
        <v>8</v>
      </c>
      <c r="E470" s="13">
        <f>SUM(E471:E474)</f>
        <v>296947.54000000004</v>
      </c>
      <c r="F470" s="13">
        <f>SUM(F471:F474)</f>
        <v>1581.41</v>
      </c>
      <c r="G470" s="13">
        <f>SUM(G471:G474)</f>
        <v>0</v>
      </c>
      <c r="H470" s="271">
        <f>SUM(H471:H474)</f>
        <v>298528.95</v>
      </c>
    </row>
    <row r="471" spans="1:10" ht="60.75" customHeight="1">
      <c r="A471" s="9"/>
      <c r="B471" s="10"/>
      <c r="C471" s="11">
        <v>2360</v>
      </c>
      <c r="D471" s="12" t="s">
        <v>324</v>
      </c>
      <c r="E471" s="13">
        <f>60000-20000</f>
        <v>40000</v>
      </c>
      <c r="F471" s="13"/>
      <c r="G471" s="13"/>
      <c r="H471" s="271">
        <f>E471+F471-G471</f>
        <v>40000</v>
      </c>
    </row>
    <row r="472" spans="1:10" ht="15.75">
      <c r="A472" s="9"/>
      <c r="B472" s="10"/>
      <c r="C472" s="11">
        <v>3110</v>
      </c>
      <c r="D472" s="12" t="s">
        <v>161</v>
      </c>
      <c r="E472" s="13">
        <f>4381.37+29091.21+7089.11+425.13</f>
        <v>40986.82</v>
      </c>
      <c r="F472" s="13">
        <v>1550.4</v>
      </c>
      <c r="G472" s="13"/>
      <c r="H472" s="271">
        <f>E472+F472-G472</f>
        <v>42537.22</v>
      </c>
    </row>
    <row r="473" spans="1:10" ht="15.75">
      <c r="A473" s="9"/>
      <c r="B473" s="10"/>
      <c r="C473" s="11">
        <v>4210</v>
      </c>
      <c r="D473" s="12" t="s">
        <v>102</v>
      </c>
      <c r="E473" s="13">
        <f>20000+87.62+581.82+141.77+38445.51</f>
        <v>59256.72</v>
      </c>
      <c r="F473" s="13">
        <v>31.01</v>
      </c>
      <c r="G473" s="13"/>
      <c r="H473" s="271">
        <f>E473+F473-G473</f>
        <v>59287.73</v>
      </c>
    </row>
    <row r="474" spans="1:10" ht="15.75">
      <c r="A474" s="9"/>
      <c r="B474" s="10"/>
      <c r="C474" s="11">
        <v>4300</v>
      </c>
      <c r="D474" s="12" t="s">
        <v>93</v>
      </c>
      <c r="E474" s="13">
        <f>150000+6704</f>
        <v>156704</v>
      </c>
      <c r="F474" s="13"/>
      <c r="G474" s="13"/>
      <c r="H474" s="271">
        <f>E474+F474-G474</f>
        <v>156704</v>
      </c>
    </row>
    <row r="475" spans="1:10" ht="15.75">
      <c r="A475" s="9">
        <v>854</v>
      </c>
      <c r="B475" s="10"/>
      <c r="C475" s="11"/>
      <c r="D475" s="12" t="s">
        <v>78</v>
      </c>
      <c r="E475" s="13">
        <f>E476+E478+E481+E483</f>
        <v>212321</v>
      </c>
      <c r="F475" s="13">
        <f>F476+F478+F481+F483</f>
        <v>2447.65</v>
      </c>
      <c r="G475" s="13">
        <f>G476+G478+G481+G483</f>
        <v>0</v>
      </c>
      <c r="H475" s="271">
        <f>H476+H478+H481+H483</f>
        <v>214768.65</v>
      </c>
      <c r="J475" s="23"/>
    </row>
    <row r="476" spans="1:10" ht="28.5" customHeight="1">
      <c r="A476" s="9"/>
      <c r="B476" s="10">
        <v>85406</v>
      </c>
      <c r="C476" s="11"/>
      <c r="D476" s="12" t="s">
        <v>162</v>
      </c>
      <c r="E476" s="13">
        <f>SUM(E477)</f>
        <v>60000</v>
      </c>
      <c r="F476" s="13">
        <f>SUM(F477)</f>
        <v>0</v>
      </c>
      <c r="G476" s="13">
        <f>SUM(G477)</f>
        <v>0</v>
      </c>
      <c r="H476" s="271">
        <f>SUM(H477)</f>
        <v>60000</v>
      </c>
    </row>
    <row r="477" spans="1:10" ht="47.25">
      <c r="A477" s="9"/>
      <c r="B477" s="10"/>
      <c r="C477" s="11">
        <v>2710</v>
      </c>
      <c r="D477" s="12" t="s">
        <v>106</v>
      </c>
      <c r="E477" s="13">
        <v>60000</v>
      </c>
      <c r="F477" s="13"/>
      <c r="G477" s="13"/>
      <c r="H477" s="271">
        <f>E477+F477-G477</f>
        <v>60000</v>
      </c>
    </row>
    <row r="478" spans="1:10" ht="15.75">
      <c r="A478" s="9"/>
      <c r="B478" s="10">
        <v>85415</v>
      </c>
      <c r="C478" s="11"/>
      <c r="D478" s="12" t="s">
        <v>79</v>
      </c>
      <c r="E478" s="13">
        <f>SUM(E479:E480)</f>
        <v>27321</v>
      </c>
      <c r="F478" s="13">
        <f t="shared" ref="F478:H478" si="29">SUM(F479:F480)</f>
        <v>2447.65</v>
      </c>
      <c r="G478" s="13">
        <f t="shared" si="29"/>
        <v>0</v>
      </c>
      <c r="H478" s="402">
        <f t="shared" si="29"/>
        <v>29768.65</v>
      </c>
    </row>
    <row r="479" spans="1:10" ht="15.75">
      <c r="A479" s="9"/>
      <c r="B479" s="10"/>
      <c r="C479" s="11">
        <v>3240</v>
      </c>
      <c r="D479" s="12" t="s">
        <v>143</v>
      </c>
      <c r="E479" s="13">
        <f>16000+5491+5830</f>
        <v>27321</v>
      </c>
      <c r="F479" s="13"/>
      <c r="G479" s="13"/>
      <c r="H479" s="271">
        <f>E479+F479-G479</f>
        <v>27321</v>
      </c>
    </row>
    <row r="480" spans="1:10" ht="15.75">
      <c r="A480" s="9"/>
      <c r="B480" s="10"/>
      <c r="C480" s="11">
        <v>3260</v>
      </c>
      <c r="D480" s="12" t="s">
        <v>144</v>
      </c>
      <c r="E480" s="13"/>
      <c r="F480" s="13">
        <v>2447.65</v>
      </c>
      <c r="G480" s="13"/>
      <c r="H480" s="271">
        <f>E480+F480-G480</f>
        <v>2447.65</v>
      </c>
    </row>
    <row r="481" spans="1:10" ht="15.75">
      <c r="A481" s="9"/>
      <c r="B481" s="10">
        <v>85416</v>
      </c>
      <c r="C481" s="11"/>
      <c r="D481" s="12" t="s">
        <v>163</v>
      </c>
      <c r="E481" s="13">
        <f>SUM(E482)</f>
        <v>85000</v>
      </c>
      <c r="F481" s="13">
        <f>SUM(F482)</f>
        <v>0</v>
      </c>
      <c r="G481" s="13">
        <f>SUM(G482)</f>
        <v>0</v>
      </c>
      <c r="H481" s="271">
        <v>85000</v>
      </c>
    </row>
    <row r="482" spans="1:10" ht="15.75">
      <c r="A482" s="9"/>
      <c r="B482" s="10"/>
      <c r="C482" s="11">
        <v>3260</v>
      </c>
      <c r="D482" s="12" t="s">
        <v>144</v>
      </c>
      <c r="E482" s="13">
        <v>85000</v>
      </c>
      <c r="F482" s="13"/>
      <c r="G482" s="13"/>
      <c r="H482" s="271">
        <f>E482+F482-G482</f>
        <v>85000</v>
      </c>
    </row>
    <row r="483" spans="1:10" ht="15.75">
      <c r="A483" s="9"/>
      <c r="B483" s="10">
        <v>85495</v>
      </c>
      <c r="C483" s="11"/>
      <c r="D483" s="12" t="s">
        <v>8</v>
      </c>
      <c r="E483" s="13">
        <f>SUM(E484)</f>
        <v>40000</v>
      </c>
      <c r="F483" s="13">
        <f>SUM(F484)</f>
        <v>0</v>
      </c>
      <c r="G483" s="13">
        <f>SUM(G484)</f>
        <v>0</v>
      </c>
      <c r="H483" s="271">
        <f>SUM(H484)</f>
        <v>40000</v>
      </c>
    </row>
    <row r="484" spans="1:10" ht="63" customHeight="1">
      <c r="A484" s="9"/>
      <c r="B484" s="10"/>
      <c r="C484" s="11">
        <v>2360</v>
      </c>
      <c r="D484" s="12" t="s">
        <v>324</v>
      </c>
      <c r="E484" s="13">
        <f>50000-10000</f>
        <v>40000</v>
      </c>
      <c r="F484" s="13"/>
      <c r="G484" s="13"/>
      <c r="H484" s="271">
        <f>E484+F484-G484</f>
        <v>40000</v>
      </c>
    </row>
    <row r="485" spans="1:10" ht="15.75">
      <c r="A485" s="9">
        <v>855</v>
      </c>
      <c r="B485" s="10"/>
      <c r="C485" s="11"/>
      <c r="D485" s="12" t="s">
        <v>80</v>
      </c>
      <c r="E485" s="13">
        <f>+E490+E512+E527+E529+E532+E509+E486</f>
        <v>11530505.199999999</v>
      </c>
      <c r="F485" s="13">
        <f>+F490+F512+F527+F529+F532+F509+F486</f>
        <v>745519.11</v>
      </c>
      <c r="G485" s="13">
        <f>+G490+G512+G527+G529+G532+G509+G486</f>
        <v>5348</v>
      </c>
      <c r="H485" s="402">
        <f>+H490+H512+H527+H529+H532+H509+H486</f>
        <v>12270676.310000001</v>
      </c>
      <c r="J485" s="23"/>
    </row>
    <row r="486" spans="1:10" ht="15.75">
      <c r="A486" s="68"/>
      <c r="B486" s="10">
        <v>85501</v>
      </c>
      <c r="C486" s="11"/>
      <c r="D486" s="12" t="s">
        <v>478</v>
      </c>
      <c r="E486" s="13">
        <f>SUM(E487:E488)</f>
        <v>2729</v>
      </c>
      <c r="F486" s="13">
        <f>SUM(F487:F488)</f>
        <v>4803</v>
      </c>
      <c r="G486" s="13">
        <f>SUM(G487:G488)</f>
        <v>2628</v>
      </c>
      <c r="H486" s="402">
        <f>SUM(H487:H488)</f>
        <v>4904</v>
      </c>
    </row>
    <row r="487" spans="1:10" ht="63">
      <c r="A487" s="68"/>
      <c r="B487" s="10"/>
      <c r="C487" s="11">
        <v>2910</v>
      </c>
      <c r="D487" s="12" t="s">
        <v>479</v>
      </c>
      <c r="E487" s="13">
        <v>13</v>
      </c>
      <c r="F487" s="13">
        <v>4803</v>
      </c>
      <c r="G487" s="13"/>
      <c r="H487" s="425">
        <f>E487+F487-G487</f>
        <v>4816</v>
      </c>
    </row>
    <row r="488" spans="1:10" ht="63">
      <c r="A488" s="68"/>
      <c r="B488" s="69"/>
      <c r="C488" s="11">
        <v>4560</v>
      </c>
      <c r="D488" s="12" t="s">
        <v>480</v>
      </c>
      <c r="E488" s="72">
        <v>2716</v>
      </c>
      <c r="F488" s="72"/>
      <c r="G488" s="72">
        <v>2628</v>
      </c>
      <c r="H488" s="425">
        <f>E488+F488-G488</f>
        <v>88</v>
      </c>
    </row>
    <row r="489" spans="1:10" ht="15.75">
      <c r="A489" s="68"/>
      <c r="B489" s="69"/>
      <c r="C489" s="11"/>
      <c r="D489" s="12"/>
      <c r="E489" s="72"/>
      <c r="F489" s="72"/>
      <c r="G489" s="72"/>
      <c r="H489" s="425"/>
    </row>
    <row r="490" spans="1:10" ht="46.5" customHeight="1">
      <c r="A490" s="9"/>
      <c r="B490" s="10">
        <v>85502</v>
      </c>
      <c r="C490" s="11"/>
      <c r="D490" s="90" t="s">
        <v>81</v>
      </c>
      <c r="E490" s="13">
        <f>SUM(E491:E508)</f>
        <v>9521338</v>
      </c>
      <c r="F490" s="13">
        <f>SUM(F491:F508)</f>
        <v>722620</v>
      </c>
      <c r="G490" s="13">
        <f>SUM(G491:G508)</f>
        <v>2000</v>
      </c>
      <c r="H490" s="402">
        <f>SUM(H491:H508)</f>
        <v>10241958</v>
      </c>
    </row>
    <row r="491" spans="1:10" ht="46.5" customHeight="1">
      <c r="A491" s="9"/>
      <c r="B491" s="10"/>
      <c r="C491" s="11">
        <v>2910</v>
      </c>
      <c r="D491" s="12" t="s">
        <v>479</v>
      </c>
      <c r="E491" s="13">
        <v>45438</v>
      </c>
      <c r="F491" s="13">
        <v>3174</v>
      </c>
      <c r="G491" s="13"/>
      <c r="H491" s="271">
        <f>E491+F491-G491</f>
        <v>48612</v>
      </c>
    </row>
    <row r="492" spans="1:10" ht="46.5" customHeight="1">
      <c r="A492" s="9"/>
      <c r="B492" s="10"/>
      <c r="C492" s="11">
        <v>4560</v>
      </c>
      <c r="D492" s="12" t="s">
        <v>480</v>
      </c>
      <c r="E492" s="13">
        <v>6335</v>
      </c>
      <c r="F492" s="13">
        <v>451</v>
      </c>
      <c r="G492" s="13"/>
      <c r="H492" s="271">
        <f>E492+F492-G492</f>
        <v>6786</v>
      </c>
    </row>
    <row r="493" spans="1:10" ht="15.75">
      <c r="A493" s="9"/>
      <c r="B493" s="10"/>
      <c r="C493" s="11">
        <v>3020</v>
      </c>
      <c r="D493" s="12" t="s">
        <v>119</v>
      </c>
      <c r="E493" s="13">
        <v>1000</v>
      </c>
      <c r="F493" s="65"/>
      <c r="G493" s="13"/>
      <c r="H493" s="271">
        <f>E493+F493-G493</f>
        <v>1000</v>
      </c>
    </row>
    <row r="494" spans="1:10" ht="15.75">
      <c r="A494" s="9"/>
      <c r="B494" s="10"/>
      <c r="C494" s="11">
        <v>3110</v>
      </c>
      <c r="D494" s="12" t="s">
        <v>161</v>
      </c>
      <c r="E494" s="13">
        <f>5355477.67+2234645+207535+827547</f>
        <v>8625204.6699999999</v>
      </c>
      <c r="F494" s="13">
        <v>542593</v>
      </c>
      <c r="G494" s="13"/>
      <c r="H494" s="271">
        <f t="shared" ref="H494:H507" si="30">E494+F494-G494</f>
        <v>9167797.6699999999</v>
      </c>
    </row>
    <row r="495" spans="1:10" ht="15.75">
      <c r="A495" s="9"/>
      <c r="B495" s="10"/>
      <c r="C495" s="11">
        <v>4010</v>
      </c>
      <c r="D495" s="12" t="s">
        <v>116</v>
      </c>
      <c r="E495" s="13">
        <f>78048+58952+2340+22483.5</f>
        <v>161823.5</v>
      </c>
      <c r="F495" s="13">
        <v>23978</v>
      </c>
      <c r="G495" s="13"/>
      <c r="H495" s="271">
        <f t="shared" si="30"/>
        <v>185801.5</v>
      </c>
    </row>
    <row r="496" spans="1:10" ht="15.75">
      <c r="A496" s="9"/>
      <c r="B496" s="10"/>
      <c r="C496" s="11">
        <v>4040</v>
      </c>
      <c r="D496" s="12" t="s">
        <v>120</v>
      </c>
      <c r="E496" s="13">
        <f>13000-1963-201</f>
        <v>10836</v>
      </c>
      <c r="F496" s="13"/>
      <c r="G496" s="13"/>
      <c r="H496" s="271">
        <f t="shared" si="30"/>
        <v>10836</v>
      </c>
    </row>
    <row r="497" spans="1:10" ht="15.75">
      <c r="A497" s="9"/>
      <c r="B497" s="10"/>
      <c r="C497" s="11">
        <v>4110</v>
      </c>
      <c r="D497" s="12" t="s">
        <v>99</v>
      </c>
      <c r="E497" s="13">
        <f>14048+11952+604402+3893</f>
        <v>634295</v>
      </c>
      <c r="F497" s="13">
        <v>129746</v>
      </c>
      <c r="G497" s="13"/>
      <c r="H497" s="271">
        <f t="shared" si="30"/>
        <v>764041</v>
      </c>
    </row>
    <row r="498" spans="1:10" ht="15.75">
      <c r="A498" s="9"/>
      <c r="B498" s="10"/>
      <c r="C498" s="11">
        <v>4120</v>
      </c>
      <c r="D498" s="12" t="s">
        <v>100</v>
      </c>
      <c r="E498" s="13">
        <f>2346.33+1254+58+551.5</f>
        <v>4209.83</v>
      </c>
      <c r="F498" s="13">
        <v>588</v>
      </c>
      <c r="G498" s="13"/>
      <c r="H498" s="271">
        <f t="shared" si="30"/>
        <v>4797.83</v>
      </c>
    </row>
    <row r="499" spans="1:10" ht="15.75">
      <c r="A499" s="9"/>
      <c r="B499" s="10"/>
      <c r="C499" s="11">
        <v>4210</v>
      </c>
      <c r="D499" s="12" t="s">
        <v>102</v>
      </c>
      <c r="E499" s="13">
        <v>5500</v>
      </c>
      <c r="F499" s="13">
        <v>14090</v>
      </c>
      <c r="G499" s="13"/>
      <c r="H499" s="271">
        <f t="shared" si="30"/>
        <v>19590</v>
      </c>
    </row>
    <row r="500" spans="1:10" ht="15.75">
      <c r="A500" s="9"/>
      <c r="B500" s="10"/>
      <c r="C500" s="11">
        <v>4280</v>
      </c>
      <c r="D500" s="12" t="s">
        <v>123</v>
      </c>
      <c r="E500" s="13">
        <f>300-300</f>
        <v>0</v>
      </c>
      <c r="F500" s="13"/>
      <c r="G500" s="13"/>
      <c r="H500" s="271">
        <f t="shared" si="30"/>
        <v>0</v>
      </c>
    </row>
    <row r="501" spans="1:10" ht="15.75">
      <c r="A501" s="9"/>
      <c r="B501" s="10"/>
      <c r="C501" s="11">
        <v>4300</v>
      </c>
      <c r="D501" s="12" t="s">
        <v>93</v>
      </c>
      <c r="E501" s="13">
        <v>15250</v>
      </c>
      <c r="F501" s="13">
        <v>8000</v>
      </c>
      <c r="G501" s="13"/>
      <c r="H501" s="271">
        <f t="shared" si="30"/>
        <v>23250</v>
      </c>
    </row>
    <row r="502" spans="1:10" ht="15.75">
      <c r="A502" s="9"/>
      <c r="B502" s="10"/>
      <c r="C502" s="11">
        <v>4360</v>
      </c>
      <c r="D502" s="12" t="s">
        <v>124</v>
      </c>
      <c r="E502" s="13">
        <f>6800-4389</f>
        <v>2411</v>
      </c>
      <c r="F502" s="13"/>
      <c r="G502" s="13"/>
      <c r="H502" s="271">
        <f t="shared" si="30"/>
        <v>2411</v>
      </c>
    </row>
    <row r="503" spans="1:10" ht="15.75">
      <c r="A503" s="9"/>
      <c r="B503" s="10"/>
      <c r="C503" s="11">
        <v>4410</v>
      </c>
      <c r="D503" s="12" t="s">
        <v>125</v>
      </c>
      <c r="E503" s="13">
        <f>1500-1500</f>
        <v>0</v>
      </c>
      <c r="F503" s="13"/>
      <c r="G503" s="13"/>
      <c r="H503" s="271">
        <f t="shared" si="30"/>
        <v>0</v>
      </c>
    </row>
    <row r="504" spans="1:10" ht="15.75">
      <c r="A504" s="9"/>
      <c r="B504" s="10"/>
      <c r="C504" s="11">
        <v>4430</v>
      </c>
      <c r="D504" s="12" t="s">
        <v>95</v>
      </c>
      <c r="E504" s="13">
        <f>16000-14800</f>
        <v>1200</v>
      </c>
      <c r="F504" s="13"/>
      <c r="G504" s="13"/>
      <c r="H504" s="271">
        <f t="shared" si="30"/>
        <v>1200</v>
      </c>
    </row>
    <row r="505" spans="1:10" ht="15.75">
      <c r="A505" s="9"/>
      <c r="B505" s="10"/>
      <c r="C505" s="11">
        <v>4440</v>
      </c>
      <c r="D505" s="12" t="s">
        <v>127</v>
      </c>
      <c r="E505" s="13">
        <f>2872+1963</f>
        <v>4835</v>
      </c>
      <c r="F505" s="13"/>
      <c r="G505" s="13"/>
      <c r="H505" s="271">
        <f t="shared" si="30"/>
        <v>4835</v>
      </c>
    </row>
    <row r="506" spans="1:10" ht="28.5" customHeight="1">
      <c r="A506" s="9"/>
      <c r="B506" s="10"/>
      <c r="C506" s="11">
        <v>4700</v>
      </c>
      <c r="D506" s="12" t="s">
        <v>128</v>
      </c>
      <c r="E506" s="13">
        <v>2000</v>
      </c>
      <c r="F506" s="13"/>
      <c r="G506" s="13">
        <v>1000</v>
      </c>
      <c r="H506" s="271">
        <f t="shared" si="30"/>
        <v>1000</v>
      </c>
    </row>
    <row r="507" spans="1:10" ht="15.75">
      <c r="A507" s="9"/>
      <c r="B507" s="10"/>
      <c r="C507" s="11">
        <v>4710</v>
      </c>
      <c r="D507" s="12" t="s">
        <v>103</v>
      </c>
      <c r="E507" s="13">
        <f>2000-1000</f>
        <v>1000</v>
      </c>
      <c r="F507" s="13"/>
      <c r="G507" s="13">
        <v>1000</v>
      </c>
      <c r="H507" s="271">
        <f t="shared" si="30"/>
        <v>0</v>
      </c>
    </row>
    <row r="508" spans="1:10" ht="15.75">
      <c r="A508" s="62"/>
      <c r="B508" s="63"/>
      <c r="C508" s="64"/>
      <c r="D508" s="12" t="s">
        <v>515</v>
      </c>
      <c r="E508" s="65"/>
      <c r="F508" s="13"/>
      <c r="G508" s="65"/>
      <c r="H508" s="299"/>
    </row>
    <row r="509" spans="1:10" ht="15.75">
      <c r="A509" s="9"/>
      <c r="B509" s="10">
        <v>85503</v>
      </c>
      <c r="C509" s="11"/>
      <c r="D509" s="12" t="s">
        <v>340</v>
      </c>
      <c r="E509" s="13">
        <f>SUM(E510)</f>
        <v>1700</v>
      </c>
      <c r="F509" s="13">
        <f>SUM(F510)</f>
        <v>300</v>
      </c>
      <c r="G509" s="13">
        <f>SUM(G510)</f>
        <v>0</v>
      </c>
      <c r="H509" s="271">
        <f>SUM(H510)</f>
        <v>2000</v>
      </c>
    </row>
    <row r="510" spans="1:10" ht="15.75">
      <c r="A510" s="9"/>
      <c r="B510" s="10"/>
      <c r="C510" s="11">
        <v>4010</v>
      </c>
      <c r="D510" s="12" t="s">
        <v>116</v>
      </c>
      <c r="E510" s="13">
        <f>898+802</f>
        <v>1700</v>
      </c>
      <c r="F510" s="13">
        <v>300</v>
      </c>
      <c r="G510" s="13"/>
      <c r="H510" s="271">
        <f>E510+F510-G510</f>
        <v>2000</v>
      </c>
    </row>
    <row r="511" spans="1:10" ht="15.75">
      <c r="A511" s="9"/>
      <c r="B511" s="10"/>
      <c r="C511" s="11"/>
      <c r="D511" s="12" t="s">
        <v>514</v>
      </c>
      <c r="E511" s="13"/>
      <c r="F511" s="13"/>
      <c r="G511" s="13"/>
      <c r="H511" s="271"/>
    </row>
    <row r="512" spans="1:10" ht="15.75">
      <c r="A512" s="9"/>
      <c r="B512" s="10">
        <v>85504</v>
      </c>
      <c r="C512" s="11"/>
      <c r="D512" s="12" t="s">
        <v>164</v>
      </c>
      <c r="E512" s="13">
        <f>SUM(E513:E526)</f>
        <v>142437.20000000001</v>
      </c>
      <c r="F512" s="13">
        <f>SUM(F513:F526)</f>
        <v>15796.11</v>
      </c>
      <c r="G512" s="13">
        <f>SUM(G513:G526)</f>
        <v>720</v>
      </c>
      <c r="H512" s="271">
        <f>SUM(H513:H526)</f>
        <v>157513.31</v>
      </c>
      <c r="J512" s="23"/>
    </row>
    <row r="513" spans="1:8" ht="15.75">
      <c r="A513" s="9"/>
      <c r="B513" s="10"/>
      <c r="C513" s="11">
        <v>3020</v>
      </c>
      <c r="D513" s="12" t="s">
        <v>119</v>
      </c>
      <c r="E513" s="13">
        <v>900</v>
      </c>
      <c r="F513" s="13">
        <v>260</v>
      </c>
      <c r="G513" s="13"/>
      <c r="H513" s="271">
        <f>E513+F513-G513</f>
        <v>1160</v>
      </c>
    </row>
    <row r="514" spans="1:8" ht="15.75">
      <c r="A514" s="9"/>
      <c r="B514" s="10"/>
      <c r="C514" s="11">
        <v>4010</v>
      </c>
      <c r="D514" s="12" t="s">
        <v>116</v>
      </c>
      <c r="E514" s="13">
        <f>84500-503+11680+6000</f>
        <v>101677</v>
      </c>
      <c r="F514" s="13">
        <v>12873.94</v>
      </c>
      <c r="G514" s="13"/>
      <c r="H514" s="271">
        <f t="shared" ref="H514:H526" si="31">E514+F514-G514</f>
        <v>114550.94</v>
      </c>
    </row>
    <row r="515" spans="1:8" ht="15.75">
      <c r="A515" s="9"/>
      <c r="B515" s="10"/>
      <c r="C515" s="11">
        <v>4040</v>
      </c>
      <c r="D515" s="12" t="s">
        <v>120</v>
      </c>
      <c r="E515" s="13">
        <f>6000-438</f>
        <v>5562</v>
      </c>
      <c r="F515" s="13"/>
      <c r="G515" s="13"/>
      <c r="H515" s="271">
        <f t="shared" si="31"/>
        <v>5562</v>
      </c>
    </row>
    <row r="516" spans="1:8" ht="15.75">
      <c r="A516" s="9"/>
      <c r="B516" s="10"/>
      <c r="C516" s="11">
        <v>4110</v>
      </c>
      <c r="D516" s="12" t="s">
        <v>99</v>
      </c>
      <c r="E516" s="13">
        <f>13800+3000+1033.2</f>
        <v>17833.2</v>
      </c>
      <c r="F516" s="13">
        <v>1927.89</v>
      </c>
      <c r="G516" s="13"/>
      <c r="H516" s="271">
        <f t="shared" si="31"/>
        <v>19761.09</v>
      </c>
    </row>
    <row r="517" spans="1:8" ht="15.75">
      <c r="A517" s="9"/>
      <c r="B517" s="10"/>
      <c r="C517" s="11">
        <v>4120</v>
      </c>
      <c r="D517" s="12" t="s">
        <v>100</v>
      </c>
      <c r="E517" s="13">
        <f>2500+147</f>
        <v>2647</v>
      </c>
      <c r="F517" s="13">
        <v>274.27999999999997</v>
      </c>
      <c r="G517" s="13"/>
      <c r="H517" s="271">
        <f t="shared" si="31"/>
        <v>2921.2799999999997</v>
      </c>
    </row>
    <row r="518" spans="1:8" ht="15.75">
      <c r="A518" s="9"/>
      <c r="B518" s="10"/>
      <c r="C518" s="11">
        <v>4210</v>
      </c>
      <c r="D518" s="12" t="s">
        <v>102</v>
      </c>
      <c r="E518" s="13">
        <f>2000-37</f>
        <v>1963</v>
      </c>
      <c r="F518" s="13"/>
      <c r="G518" s="13"/>
      <c r="H518" s="271">
        <f t="shared" si="31"/>
        <v>1963</v>
      </c>
    </row>
    <row r="519" spans="1:8" ht="15.75">
      <c r="A519" s="9"/>
      <c r="B519" s="10"/>
      <c r="C519" s="11">
        <v>4280</v>
      </c>
      <c r="D519" s="12" t="s">
        <v>123</v>
      </c>
      <c r="E519" s="13">
        <f>300+37</f>
        <v>337</v>
      </c>
      <c r="F519" s="13"/>
      <c r="G519" s="13"/>
      <c r="H519" s="271">
        <f t="shared" si="31"/>
        <v>337</v>
      </c>
    </row>
    <row r="520" spans="1:8" ht="15.75">
      <c r="A520" s="9"/>
      <c r="B520" s="10"/>
      <c r="C520" s="11">
        <v>4300</v>
      </c>
      <c r="D520" s="12" t="s">
        <v>93</v>
      </c>
      <c r="E520" s="13">
        <v>1900</v>
      </c>
      <c r="F520" s="13"/>
      <c r="G520" s="13">
        <v>200</v>
      </c>
      <c r="H520" s="271">
        <f t="shared" si="31"/>
        <v>1700</v>
      </c>
    </row>
    <row r="521" spans="1:8" ht="15.75">
      <c r="A521" s="9"/>
      <c r="B521" s="10"/>
      <c r="C521" s="11">
        <v>4360</v>
      </c>
      <c r="D521" s="12" t="s">
        <v>124</v>
      </c>
      <c r="E521" s="13">
        <v>1000</v>
      </c>
      <c r="F521" s="13"/>
      <c r="G521" s="13">
        <v>520</v>
      </c>
      <c r="H521" s="271">
        <f t="shared" si="31"/>
        <v>480</v>
      </c>
    </row>
    <row r="522" spans="1:8" ht="15.75">
      <c r="A522" s="9"/>
      <c r="B522" s="10"/>
      <c r="C522" s="11">
        <v>4410</v>
      </c>
      <c r="D522" s="12" t="s">
        <v>125</v>
      </c>
      <c r="E522" s="13">
        <v>3500</v>
      </c>
      <c r="F522" s="13">
        <v>460</v>
      </c>
      <c r="G522" s="13"/>
      <c r="H522" s="271">
        <f t="shared" si="31"/>
        <v>3960</v>
      </c>
    </row>
    <row r="523" spans="1:8" ht="15.75">
      <c r="A523" s="9"/>
      <c r="B523" s="10"/>
      <c r="C523" s="11">
        <v>4430</v>
      </c>
      <c r="D523" s="12" t="s">
        <v>95</v>
      </c>
      <c r="E523" s="13">
        <v>600</v>
      </c>
      <c r="F523" s="13"/>
      <c r="G523" s="13"/>
      <c r="H523" s="271">
        <f t="shared" si="31"/>
        <v>600</v>
      </c>
    </row>
    <row r="524" spans="1:8" ht="15.75">
      <c r="A524" s="9"/>
      <c r="B524" s="10"/>
      <c r="C524" s="11">
        <v>4440</v>
      </c>
      <c r="D524" s="12" t="s">
        <v>127</v>
      </c>
      <c r="E524" s="13">
        <f>1915+503</f>
        <v>2418</v>
      </c>
      <c r="F524" s="13"/>
      <c r="G524" s="13"/>
      <c r="H524" s="271">
        <f t="shared" si="31"/>
        <v>2418</v>
      </c>
    </row>
    <row r="525" spans="1:8" ht="27" customHeight="1">
      <c r="A525" s="9"/>
      <c r="B525" s="10"/>
      <c r="C525" s="11">
        <v>4700</v>
      </c>
      <c r="D525" s="12" t="s">
        <v>128</v>
      </c>
      <c r="E525" s="13">
        <v>1800</v>
      </c>
      <c r="F525" s="13"/>
      <c r="G525" s="13"/>
      <c r="H525" s="271">
        <f t="shared" si="31"/>
        <v>1800</v>
      </c>
    </row>
    <row r="526" spans="1:8" ht="15.75">
      <c r="A526" s="9"/>
      <c r="B526" s="10"/>
      <c r="C526" s="11">
        <v>4710</v>
      </c>
      <c r="D526" s="12" t="s">
        <v>103</v>
      </c>
      <c r="E526" s="13">
        <v>300</v>
      </c>
      <c r="F526" s="13"/>
      <c r="G526" s="13"/>
      <c r="H526" s="271">
        <f t="shared" si="31"/>
        <v>300</v>
      </c>
    </row>
    <row r="527" spans="1:8" ht="15.75">
      <c r="A527" s="9"/>
      <c r="B527" s="10">
        <v>85508</v>
      </c>
      <c r="C527" s="11"/>
      <c r="D527" s="12" t="s">
        <v>165</v>
      </c>
      <c r="E527" s="13">
        <f>E528</f>
        <v>340000</v>
      </c>
      <c r="F527" s="13">
        <f>F528</f>
        <v>0</v>
      </c>
      <c r="G527" s="13">
        <f>G528</f>
        <v>0</v>
      </c>
      <c r="H527" s="271">
        <f>H528</f>
        <v>340000</v>
      </c>
    </row>
    <row r="528" spans="1:8" ht="28.5" customHeight="1">
      <c r="A528" s="9"/>
      <c r="B528" s="10"/>
      <c r="C528" s="11">
        <v>4330</v>
      </c>
      <c r="D528" s="12" t="s">
        <v>148</v>
      </c>
      <c r="E528" s="13">
        <f>260000+80000</f>
        <v>340000</v>
      </c>
      <c r="F528" s="13"/>
      <c r="G528" s="13"/>
      <c r="H528" s="271">
        <f>E528+F528-G528</f>
        <v>340000</v>
      </c>
    </row>
    <row r="529" spans="1:10" ht="47.25">
      <c r="A529" s="9"/>
      <c r="B529" s="10">
        <v>85513</v>
      </c>
      <c r="C529" s="11"/>
      <c r="D529" s="12" t="s">
        <v>82</v>
      </c>
      <c r="E529" s="13">
        <f>E530</f>
        <v>92301</v>
      </c>
      <c r="F529" s="13">
        <f>F530</f>
        <v>2000</v>
      </c>
      <c r="G529" s="13">
        <f>G530</f>
        <v>0</v>
      </c>
      <c r="H529" s="271">
        <f>H530</f>
        <v>94301</v>
      </c>
    </row>
    <row r="530" spans="1:10" ht="15.75">
      <c r="A530" s="9"/>
      <c r="B530" s="10"/>
      <c r="C530" s="11">
        <v>4130</v>
      </c>
      <c r="D530" s="12" t="s">
        <v>160</v>
      </c>
      <c r="E530" s="13">
        <f>65701+2500+2500+9000+12600</f>
        <v>92301</v>
      </c>
      <c r="F530" s="13">
        <v>2000</v>
      </c>
      <c r="G530" s="13"/>
      <c r="H530" s="271">
        <f>E530+F530-G530</f>
        <v>94301</v>
      </c>
    </row>
    <row r="531" spans="1:10" ht="15.75">
      <c r="A531" s="9"/>
      <c r="B531" s="10"/>
      <c r="C531" s="11"/>
      <c r="D531" s="12" t="s">
        <v>513</v>
      </c>
      <c r="E531" s="13"/>
      <c r="F531" s="13"/>
      <c r="G531" s="13"/>
      <c r="H531" s="271"/>
    </row>
    <row r="532" spans="1:10" ht="15.75">
      <c r="A532" s="9"/>
      <c r="B532" s="10">
        <v>85516</v>
      </c>
      <c r="C532" s="11"/>
      <c r="D532" s="12" t="s">
        <v>83</v>
      </c>
      <c r="E532" s="13">
        <f>SUM(E533:E534)</f>
        <v>1430000</v>
      </c>
      <c r="F532" s="13">
        <f>SUM(F533:F534)</f>
        <v>0</v>
      </c>
      <c r="G532" s="13">
        <f>SUM(G533:G534)</f>
        <v>0</v>
      </c>
      <c r="H532" s="271">
        <f>SUM(H533:H534)</f>
        <v>1430000</v>
      </c>
    </row>
    <row r="533" spans="1:10" ht="42" customHeight="1">
      <c r="A533" s="9"/>
      <c r="B533" s="10"/>
      <c r="C533" s="11">
        <v>2830</v>
      </c>
      <c r="D533" s="12" t="s">
        <v>166</v>
      </c>
      <c r="E533" s="13">
        <v>1380000</v>
      </c>
      <c r="F533" s="13"/>
      <c r="G533" s="13"/>
      <c r="H533" s="271">
        <f>E533+F533-G533</f>
        <v>1380000</v>
      </c>
    </row>
    <row r="534" spans="1:10" ht="31.5">
      <c r="A534" s="9"/>
      <c r="B534" s="10"/>
      <c r="C534" s="11">
        <v>4330</v>
      </c>
      <c r="D534" s="12" t="s">
        <v>148</v>
      </c>
      <c r="E534" s="13">
        <v>50000</v>
      </c>
      <c r="F534" s="13"/>
      <c r="G534" s="13"/>
      <c r="H534" s="271">
        <f>E534+F534-G534</f>
        <v>50000</v>
      </c>
    </row>
    <row r="535" spans="1:10" ht="15.75">
      <c r="A535" s="9">
        <v>900</v>
      </c>
      <c r="B535" s="10"/>
      <c r="C535" s="11"/>
      <c r="D535" s="12" t="s">
        <v>84</v>
      </c>
      <c r="E535" s="13">
        <f>E536+E541+E544+E550+E556+E558+E562+E568+E572</f>
        <v>9842531</v>
      </c>
      <c r="F535" s="13">
        <f>F536+F541+F544+F550+F556+F558+F562+F568+F572</f>
        <v>20427</v>
      </c>
      <c r="G535" s="13">
        <f>G536+G541+G544+G550+G556+G558+G562+G568+G572</f>
        <v>824099.34</v>
      </c>
      <c r="H535" s="402">
        <f>H536+H541+H544+H550+H556+H558+H562+H568+H572</f>
        <v>9038858.6600000001</v>
      </c>
      <c r="J535" s="23"/>
    </row>
    <row r="536" spans="1:10" ht="15.75">
      <c r="A536" s="9"/>
      <c r="B536" s="10">
        <v>90001</v>
      </c>
      <c r="C536" s="11"/>
      <c r="D536" s="12" t="s">
        <v>85</v>
      </c>
      <c r="E536" s="13">
        <f>SUM(E537:E540)</f>
        <v>208000</v>
      </c>
      <c r="F536" s="13">
        <f>SUM(F537:F540)</f>
        <v>0</v>
      </c>
      <c r="G536" s="13">
        <f>SUM(G537:G540)</f>
        <v>0</v>
      </c>
      <c r="H536" s="271">
        <f>SUM(H537:H540)</f>
        <v>208000</v>
      </c>
    </row>
    <row r="537" spans="1:10" ht="15.75">
      <c r="A537" s="9"/>
      <c r="B537" s="10"/>
      <c r="C537" s="11">
        <v>4260</v>
      </c>
      <c r="D537" s="12" t="s">
        <v>111</v>
      </c>
      <c r="E537" s="13">
        <v>3000</v>
      </c>
      <c r="F537" s="13"/>
      <c r="G537" s="13"/>
      <c r="H537" s="271">
        <f>E537+F537-G537</f>
        <v>3000</v>
      </c>
    </row>
    <row r="538" spans="1:10" ht="15.75">
      <c r="A538" s="9"/>
      <c r="B538" s="10"/>
      <c r="C538" s="11">
        <v>4300</v>
      </c>
      <c r="D538" s="12" t="s">
        <v>93</v>
      </c>
      <c r="E538" s="13">
        <v>40000</v>
      </c>
      <c r="F538" s="13"/>
      <c r="G538" s="13"/>
      <c r="H538" s="271">
        <f>E538+F538-G538</f>
        <v>40000</v>
      </c>
    </row>
    <row r="539" spans="1:10" ht="15.75">
      <c r="A539" s="9"/>
      <c r="B539" s="10"/>
      <c r="C539" s="11">
        <v>4430</v>
      </c>
      <c r="D539" s="12" t="s">
        <v>95</v>
      </c>
      <c r="E539" s="13">
        <v>5000</v>
      </c>
      <c r="F539" s="13"/>
      <c r="G539" s="13"/>
      <c r="H539" s="271">
        <f>E539+F539-G539</f>
        <v>5000</v>
      </c>
    </row>
    <row r="540" spans="1:10" ht="61.5" customHeight="1">
      <c r="A540" s="9"/>
      <c r="B540" s="10"/>
      <c r="C540" s="11">
        <v>6230</v>
      </c>
      <c r="D540" s="12" t="s">
        <v>168</v>
      </c>
      <c r="E540" s="13">
        <f>180000-20000</f>
        <v>160000</v>
      </c>
      <c r="F540" s="13"/>
      <c r="G540" s="13"/>
      <c r="H540" s="271">
        <f>E540+F540-G540</f>
        <v>160000</v>
      </c>
    </row>
    <row r="541" spans="1:10" ht="15.75">
      <c r="A541" s="9"/>
      <c r="B541" s="10">
        <v>90003</v>
      </c>
      <c r="C541" s="11"/>
      <c r="D541" s="12" t="s">
        <v>167</v>
      </c>
      <c r="E541" s="13">
        <f>SUM(E542:E543)</f>
        <v>873260</v>
      </c>
      <c r="F541" s="13">
        <f>SUM(F542:F543)</f>
        <v>0</v>
      </c>
      <c r="G541" s="13">
        <f>SUM(G542:G543)</f>
        <v>0</v>
      </c>
      <c r="H541" s="271">
        <f>SUM(H542:H543)</f>
        <v>873260</v>
      </c>
    </row>
    <row r="542" spans="1:10" ht="15.75">
      <c r="A542" s="9"/>
      <c r="B542" s="10"/>
      <c r="C542" s="11">
        <v>4210</v>
      </c>
      <c r="D542" s="12" t="s">
        <v>102</v>
      </c>
      <c r="E542" s="13">
        <f>25000+3000-740</f>
        <v>27260</v>
      </c>
      <c r="F542" s="13"/>
      <c r="G542" s="13"/>
      <c r="H542" s="271">
        <f>E542+F542-G542</f>
        <v>27260</v>
      </c>
    </row>
    <row r="543" spans="1:10" ht="15.75">
      <c r="A543" s="9"/>
      <c r="B543" s="10"/>
      <c r="C543" s="11">
        <v>4300</v>
      </c>
      <c r="D543" s="12" t="s">
        <v>93</v>
      </c>
      <c r="E543" s="13">
        <f>615000+30000+1000+200000</f>
        <v>846000</v>
      </c>
      <c r="F543" s="13"/>
      <c r="G543" s="13"/>
      <c r="H543" s="271">
        <f>E543+F543-G543</f>
        <v>846000</v>
      </c>
    </row>
    <row r="544" spans="1:10" ht="15.75">
      <c r="A544" s="9"/>
      <c r="B544" s="10">
        <v>90004</v>
      </c>
      <c r="C544" s="11"/>
      <c r="D544" s="12" t="s">
        <v>86</v>
      </c>
      <c r="E544" s="13">
        <f>SUM(E545:E549)</f>
        <v>889287</v>
      </c>
      <c r="F544" s="13">
        <f>SUM(F545:F549)</f>
        <v>0</v>
      </c>
      <c r="G544" s="13">
        <f>SUM(G545:G549)</f>
        <v>7987</v>
      </c>
      <c r="H544" s="13">
        <f>SUM(H545:H549)</f>
        <v>881300</v>
      </c>
    </row>
    <row r="545" spans="1:8" ht="15.75">
      <c r="A545" s="9"/>
      <c r="B545" s="10"/>
      <c r="C545" s="11">
        <v>4110</v>
      </c>
      <c r="D545" s="12" t="s">
        <v>99</v>
      </c>
      <c r="E545" s="13">
        <f>1500</f>
        <v>1500</v>
      </c>
      <c r="F545" s="13"/>
      <c r="G545" s="13"/>
      <c r="H545" s="271">
        <f>E545+F545-G545</f>
        <v>1500</v>
      </c>
    </row>
    <row r="546" spans="1:8" ht="15.75">
      <c r="A546" s="9"/>
      <c r="B546" s="10"/>
      <c r="C546" s="11">
        <v>4120</v>
      </c>
      <c r="D546" s="12" t="s">
        <v>100</v>
      </c>
      <c r="E546" s="13">
        <f>300</f>
        <v>300</v>
      </c>
      <c r="F546" s="13"/>
      <c r="G546" s="13"/>
      <c r="H546" s="271">
        <f>E546+F546-G546</f>
        <v>300</v>
      </c>
    </row>
    <row r="547" spans="1:8" ht="15.75">
      <c r="A547" s="9"/>
      <c r="B547" s="10"/>
      <c r="C547" s="11">
        <v>4170</v>
      </c>
      <c r="D547" s="12" t="s">
        <v>101</v>
      </c>
      <c r="E547" s="13">
        <f>6231</f>
        <v>6231</v>
      </c>
      <c r="F547" s="13"/>
      <c r="G547" s="13"/>
      <c r="H547" s="271">
        <f>E547+F547-G547</f>
        <v>6231</v>
      </c>
    </row>
    <row r="548" spans="1:8" ht="15.75">
      <c r="A548" s="9"/>
      <c r="B548" s="10"/>
      <c r="C548" s="11">
        <v>4210</v>
      </c>
      <c r="D548" s="12" t="s">
        <v>102</v>
      </c>
      <c r="E548" s="13">
        <f>36000+4000+5000-213-30000</f>
        <v>14787</v>
      </c>
      <c r="F548" s="13"/>
      <c r="G548" s="13">
        <f>487+5000</f>
        <v>5487</v>
      </c>
      <c r="H548" s="271">
        <f>E548+F548-G548</f>
        <v>9300</v>
      </c>
    </row>
    <row r="549" spans="1:8" ht="15.75">
      <c r="A549" s="9"/>
      <c r="B549" s="10"/>
      <c r="C549" s="11">
        <v>4300</v>
      </c>
      <c r="D549" s="12" t="s">
        <v>93</v>
      </c>
      <c r="E549" s="13">
        <f>780000+8500-8031+90000-3300-700</f>
        <v>866469</v>
      </c>
      <c r="F549" s="13"/>
      <c r="G549" s="13">
        <f>500+2000</f>
        <v>2500</v>
      </c>
      <c r="H549" s="271">
        <f>E549+F549-G549</f>
        <v>863969</v>
      </c>
    </row>
    <row r="550" spans="1:8" ht="15.75">
      <c r="A550" s="62"/>
      <c r="B550" s="10">
        <v>90005</v>
      </c>
      <c r="C550" s="11"/>
      <c r="D550" s="12" t="s">
        <v>87</v>
      </c>
      <c r="E550" s="13">
        <f>SUM(E551:E555)</f>
        <v>435900</v>
      </c>
      <c r="F550" s="13">
        <f>SUM(F551:F555)</f>
        <v>0</v>
      </c>
      <c r="G550" s="13">
        <f>SUM(G551:G555)</f>
        <v>0</v>
      </c>
      <c r="H550" s="271">
        <f>SUM(H551:H555)</f>
        <v>435900</v>
      </c>
    </row>
    <row r="551" spans="1:8" ht="15.75">
      <c r="A551" s="62"/>
      <c r="B551" s="10"/>
      <c r="C551" s="11">
        <v>4110</v>
      </c>
      <c r="D551" s="12" t="s">
        <v>99</v>
      </c>
      <c r="E551" s="13">
        <f>2000+3000</f>
        <v>5000</v>
      </c>
      <c r="F551" s="13"/>
      <c r="G551" s="13"/>
      <c r="H551" s="271">
        <f>E551+F551-G551</f>
        <v>5000</v>
      </c>
    </row>
    <row r="552" spans="1:8" ht="15.75">
      <c r="A552" s="62"/>
      <c r="B552" s="10"/>
      <c r="C552" s="11">
        <v>4120</v>
      </c>
      <c r="D552" s="12" t="s">
        <v>100</v>
      </c>
      <c r="E552" s="13">
        <v>1500</v>
      </c>
      <c r="F552" s="13"/>
      <c r="G552" s="13"/>
      <c r="H552" s="271">
        <f>E552+F552-G552</f>
        <v>1500</v>
      </c>
    </row>
    <row r="553" spans="1:8" ht="15.75">
      <c r="A553" s="62"/>
      <c r="B553" s="10"/>
      <c r="C553" s="11">
        <v>4170</v>
      </c>
      <c r="D553" s="12" t="s">
        <v>101</v>
      </c>
      <c r="E553" s="13">
        <f>15000+15000+4400</f>
        <v>34400</v>
      </c>
      <c r="F553" s="13"/>
      <c r="G553" s="13"/>
      <c r="H553" s="271">
        <f>E553+F553-G553</f>
        <v>34400</v>
      </c>
    </row>
    <row r="554" spans="1:8" ht="15.75">
      <c r="A554" s="9"/>
      <c r="B554" s="10"/>
      <c r="C554" s="11">
        <v>4300</v>
      </c>
      <c r="D554" s="12" t="s">
        <v>93</v>
      </c>
      <c r="E554" s="13">
        <f>30000+20000</f>
        <v>50000</v>
      </c>
      <c r="F554" s="13"/>
      <c r="G554" s="13"/>
      <c r="H554" s="271">
        <f>E554+F554-G554</f>
        <v>50000</v>
      </c>
    </row>
    <row r="555" spans="1:8" ht="60" customHeight="1">
      <c r="A555" s="62"/>
      <c r="B555" s="63"/>
      <c r="C555" s="11">
        <v>6230</v>
      </c>
      <c r="D555" s="12" t="s">
        <v>168</v>
      </c>
      <c r="E555" s="13">
        <f>400000-180000+56000+69000</f>
        <v>345000</v>
      </c>
      <c r="F555" s="13"/>
      <c r="G555" s="13"/>
      <c r="H555" s="271">
        <f>E555+F555-G555</f>
        <v>345000</v>
      </c>
    </row>
    <row r="556" spans="1:8" ht="15.75">
      <c r="A556" s="9"/>
      <c r="B556" s="10">
        <v>90008</v>
      </c>
      <c r="C556" s="11"/>
      <c r="D556" s="12" t="s">
        <v>169</v>
      </c>
      <c r="E556" s="13">
        <f>SUM(E557)</f>
        <v>5000</v>
      </c>
      <c r="F556" s="13">
        <f>SUM(F557)</f>
        <v>5000</v>
      </c>
      <c r="G556" s="13">
        <f>SUM(G557)</f>
        <v>0</v>
      </c>
      <c r="H556" s="271">
        <v>10000</v>
      </c>
    </row>
    <row r="557" spans="1:8" ht="15.75">
      <c r="A557" s="9"/>
      <c r="B557" s="10"/>
      <c r="C557" s="11">
        <v>4210</v>
      </c>
      <c r="D557" s="12" t="s">
        <v>102</v>
      </c>
      <c r="E557" s="13">
        <v>5000</v>
      </c>
      <c r="F557" s="13">
        <v>5000</v>
      </c>
      <c r="G557" s="13"/>
      <c r="H557" s="271">
        <f>E557+F557-G557</f>
        <v>10000</v>
      </c>
    </row>
    <row r="558" spans="1:8" ht="15.75">
      <c r="A558" s="9"/>
      <c r="B558" s="10">
        <v>90013</v>
      </c>
      <c r="C558" s="11"/>
      <c r="D558" s="12" t="s">
        <v>170</v>
      </c>
      <c r="E558" s="13">
        <f>SUM(E559:E561)</f>
        <v>589000</v>
      </c>
      <c r="F558" s="13">
        <f>SUM(F559:F561)</f>
        <v>0</v>
      </c>
      <c r="G558" s="13">
        <f>SUM(G559:G561)</f>
        <v>0</v>
      </c>
      <c r="H558" s="271">
        <f>SUM(H559:H561)</f>
        <v>589000</v>
      </c>
    </row>
    <row r="559" spans="1:8" ht="63">
      <c r="A559" s="9"/>
      <c r="B559" s="10"/>
      <c r="C559" s="11">
        <v>2900</v>
      </c>
      <c r="D559" s="12" t="s">
        <v>171</v>
      </c>
      <c r="E559" s="13">
        <v>355000</v>
      </c>
      <c r="F559" s="13"/>
      <c r="G559" s="13"/>
      <c r="H559" s="271">
        <f>E559+F559-G559</f>
        <v>355000</v>
      </c>
    </row>
    <row r="560" spans="1:8" ht="15.75">
      <c r="A560" s="9"/>
      <c r="B560" s="10"/>
      <c r="C560" s="11">
        <v>4210</v>
      </c>
      <c r="D560" s="12" t="s">
        <v>102</v>
      </c>
      <c r="E560" s="13">
        <v>7000</v>
      </c>
      <c r="F560" s="13"/>
      <c r="G560" s="13"/>
      <c r="H560" s="271">
        <f>E560+F560-G560</f>
        <v>7000</v>
      </c>
    </row>
    <row r="561" spans="1:8" ht="15.75">
      <c r="A561" s="9"/>
      <c r="B561" s="10"/>
      <c r="C561" s="11">
        <v>4300</v>
      </c>
      <c r="D561" s="12" t="s">
        <v>93</v>
      </c>
      <c r="E561" s="13">
        <f>180000+47000</f>
        <v>227000</v>
      </c>
      <c r="F561" s="13"/>
      <c r="G561" s="13"/>
      <c r="H561" s="271">
        <f>E561+F561-G561</f>
        <v>227000</v>
      </c>
    </row>
    <row r="562" spans="1:8" ht="15.75">
      <c r="A562" s="9"/>
      <c r="B562" s="10">
        <v>90015</v>
      </c>
      <c r="C562" s="11"/>
      <c r="D562" s="12" t="s">
        <v>172</v>
      </c>
      <c r="E562" s="13">
        <f>SUM(E563:E567)</f>
        <v>5433680</v>
      </c>
      <c r="F562" s="13">
        <f>SUM(F563:F567)</f>
        <v>0</v>
      </c>
      <c r="G562" s="13">
        <f>SUM(G563:G567)</f>
        <v>816112.34</v>
      </c>
      <c r="H562" s="402">
        <f>SUM(H563:H567)</f>
        <v>4617567.66</v>
      </c>
    </row>
    <row r="563" spans="1:8" ht="15.75">
      <c r="A563" s="9"/>
      <c r="B563" s="10"/>
      <c r="C563" s="11">
        <v>4260</v>
      </c>
      <c r="D563" s="12" t="s">
        <v>111</v>
      </c>
      <c r="E563" s="13">
        <f>1700000+200000</f>
        <v>1900000</v>
      </c>
      <c r="F563" s="13"/>
      <c r="G563" s="13"/>
      <c r="H563" s="271">
        <f>E563+F563-G563</f>
        <v>1900000</v>
      </c>
    </row>
    <row r="564" spans="1:8" ht="15.75">
      <c r="A564" s="9"/>
      <c r="B564" s="10"/>
      <c r="C564" s="11">
        <v>4270</v>
      </c>
      <c r="D564" s="12" t="s">
        <v>110</v>
      </c>
      <c r="E564" s="13">
        <v>950000</v>
      </c>
      <c r="F564" s="13"/>
      <c r="G564" s="13"/>
      <c r="H564" s="271">
        <f>E564+F564-G564</f>
        <v>950000</v>
      </c>
    </row>
    <row r="565" spans="1:8" ht="15.75">
      <c r="A565" s="9"/>
      <c r="B565" s="10"/>
      <c r="C565" s="11">
        <v>4300</v>
      </c>
      <c r="D565" s="12" t="s">
        <v>93</v>
      </c>
      <c r="E565" s="13">
        <f>100000+50000+90000</f>
        <v>240000</v>
      </c>
      <c r="F565" s="13"/>
      <c r="G565" s="13"/>
      <c r="H565" s="271">
        <f>E565+F565-G565</f>
        <v>240000</v>
      </c>
    </row>
    <row r="566" spans="1:8" ht="15.75">
      <c r="A566" s="9"/>
      <c r="B566" s="10"/>
      <c r="C566" s="11">
        <v>6050</v>
      </c>
      <c r="D566" s="12" t="s">
        <v>98</v>
      </c>
      <c r="E566" s="13">
        <v>1000000</v>
      </c>
      <c r="F566" s="13"/>
      <c r="G566" s="13"/>
      <c r="H566" s="271">
        <f>E566+F566-G566</f>
        <v>1000000</v>
      </c>
    </row>
    <row r="567" spans="1:8" ht="47.25">
      <c r="A567" s="9"/>
      <c r="B567" s="10"/>
      <c r="C567" s="84">
        <v>6370</v>
      </c>
      <c r="D567" s="85" t="s">
        <v>215</v>
      </c>
      <c r="E567" s="13">
        <v>1343680</v>
      </c>
      <c r="F567" s="13"/>
      <c r="G567" s="13">
        <v>816112.34</v>
      </c>
      <c r="H567" s="271">
        <f>E567+F567-G567</f>
        <v>527567.66</v>
      </c>
    </row>
    <row r="568" spans="1:8" ht="15.75">
      <c r="A568" s="9"/>
      <c r="B568" s="10">
        <v>90026</v>
      </c>
      <c r="C568" s="11"/>
      <c r="D568" s="12" t="s">
        <v>173</v>
      </c>
      <c r="E568" s="13">
        <f>SUM(E569:E571)</f>
        <v>260000</v>
      </c>
      <c r="F568" s="13">
        <f>SUM(F569:F571)</f>
        <v>0</v>
      </c>
      <c r="G568" s="13">
        <f>SUM(G569:G571)</f>
        <v>0</v>
      </c>
      <c r="H568" s="271">
        <f>SUM(H569:H571)</f>
        <v>260000</v>
      </c>
    </row>
    <row r="569" spans="1:8" ht="44.25" customHeight="1">
      <c r="A569" s="9"/>
      <c r="B569" s="10"/>
      <c r="C569" s="11">
        <v>2320</v>
      </c>
      <c r="D569" s="12" t="s">
        <v>174</v>
      </c>
      <c r="E569" s="13">
        <v>30000</v>
      </c>
      <c r="F569" s="13"/>
      <c r="G569" s="13"/>
      <c r="H569" s="271">
        <f>E569+F569-G569</f>
        <v>30000</v>
      </c>
    </row>
    <row r="570" spans="1:8" ht="59.25" customHeight="1">
      <c r="A570" s="62"/>
      <c r="B570" s="63"/>
      <c r="C570" s="11">
        <v>2900</v>
      </c>
      <c r="D570" s="12" t="s">
        <v>171</v>
      </c>
      <c r="E570" s="13">
        <v>80000</v>
      </c>
      <c r="F570" s="13"/>
      <c r="G570" s="13"/>
      <c r="H570" s="271">
        <f>E570+F570-G570</f>
        <v>80000</v>
      </c>
    </row>
    <row r="571" spans="1:8" ht="15.75">
      <c r="A571" s="62"/>
      <c r="B571" s="63"/>
      <c r="C571" s="11">
        <v>4300</v>
      </c>
      <c r="D571" s="12" t="s">
        <v>93</v>
      </c>
      <c r="E571" s="13">
        <v>150000</v>
      </c>
      <c r="F571" s="13"/>
      <c r="G571" s="13"/>
      <c r="H571" s="271">
        <f>E571+F571-G571</f>
        <v>150000</v>
      </c>
    </row>
    <row r="572" spans="1:8" ht="15.75">
      <c r="A572" s="9"/>
      <c r="B572" s="10">
        <v>90095</v>
      </c>
      <c r="C572" s="11"/>
      <c r="D572" s="12" t="s">
        <v>8</v>
      </c>
      <c r="E572" s="13">
        <f>SUM(E573:E583)</f>
        <v>1148404</v>
      </c>
      <c r="F572" s="13">
        <f>SUM(F573:F583)</f>
        <v>15427</v>
      </c>
      <c r="G572" s="13">
        <f>SUM(G573:G583)</f>
        <v>0</v>
      </c>
      <c r="H572" s="271">
        <f>SUM(H573:H583)</f>
        <v>1163831</v>
      </c>
    </row>
    <row r="573" spans="1:8" ht="60" customHeight="1">
      <c r="A573" s="9"/>
      <c r="B573" s="10"/>
      <c r="C573" s="11">
        <v>2360</v>
      </c>
      <c r="D573" s="12" t="s">
        <v>324</v>
      </c>
      <c r="E573" s="13">
        <v>6000</v>
      </c>
      <c r="F573" s="13"/>
      <c r="G573" s="13"/>
      <c r="H573" s="271">
        <f t="shared" ref="H573:H583" si="32">E573+F573-G573</f>
        <v>6000</v>
      </c>
    </row>
    <row r="574" spans="1:8" ht="15.75">
      <c r="A574" s="9"/>
      <c r="B574" s="10"/>
      <c r="C574" s="11">
        <v>4110</v>
      </c>
      <c r="D574" s="12" t="s">
        <v>99</v>
      </c>
      <c r="E574" s="13">
        <f>4800</f>
        <v>4800</v>
      </c>
      <c r="F574" s="13">
        <v>1500</v>
      </c>
      <c r="G574" s="13"/>
      <c r="H574" s="271">
        <f t="shared" si="32"/>
        <v>6300</v>
      </c>
    </row>
    <row r="575" spans="1:8" ht="15.75">
      <c r="A575" s="9"/>
      <c r="B575" s="10"/>
      <c r="C575" s="11">
        <v>4120</v>
      </c>
      <c r="D575" s="12" t="s">
        <v>100</v>
      </c>
      <c r="E575" s="13">
        <f>685</f>
        <v>685</v>
      </c>
      <c r="F575" s="13">
        <v>227</v>
      </c>
      <c r="G575" s="13"/>
      <c r="H575" s="271">
        <f t="shared" si="32"/>
        <v>912</v>
      </c>
    </row>
    <row r="576" spans="1:8" ht="15.75">
      <c r="A576" s="9"/>
      <c r="B576" s="10"/>
      <c r="C576" s="11">
        <v>4170</v>
      </c>
      <c r="D576" s="12" t="s">
        <v>101</v>
      </c>
      <c r="E576" s="13">
        <f>28000</f>
        <v>28000</v>
      </c>
      <c r="F576" s="13">
        <v>9200</v>
      </c>
      <c r="G576" s="13"/>
      <c r="H576" s="271">
        <f t="shared" si="32"/>
        <v>37200</v>
      </c>
    </row>
    <row r="577" spans="1:10" ht="15.75">
      <c r="A577" s="9"/>
      <c r="B577" s="10"/>
      <c r="C577" s="11">
        <v>4177</v>
      </c>
      <c r="D577" s="12" t="s">
        <v>101</v>
      </c>
      <c r="E577" s="13"/>
      <c r="F577" s="13">
        <f>2*900</f>
        <v>1800</v>
      </c>
      <c r="G577" s="13"/>
      <c r="H577" s="271">
        <f t="shared" si="32"/>
        <v>1800</v>
      </c>
    </row>
    <row r="578" spans="1:10" ht="15.75">
      <c r="A578" s="9"/>
      <c r="B578" s="10"/>
      <c r="C578" s="11">
        <v>4179</v>
      </c>
      <c r="D578" s="12" t="s">
        <v>101</v>
      </c>
      <c r="E578" s="13"/>
      <c r="F578" s="13">
        <f>2*100</f>
        <v>200</v>
      </c>
      <c r="G578" s="13"/>
      <c r="H578" s="271">
        <f t="shared" si="32"/>
        <v>200</v>
      </c>
    </row>
    <row r="579" spans="1:10" ht="15.75">
      <c r="A579" s="9"/>
      <c r="B579" s="10"/>
      <c r="C579" s="11">
        <v>4300</v>
      </c>
      <c r="D579" s="12" t="s">
        <v>93</v>
      </c>
      <c r="E579" s="13">
        <f>170000+100000</f>
        <v>270000</v>
      </c>
      <c r="F579" s="13"/>
      <c r="G579" s="13"/>
      <c r="H579" s="271">
        <f t="shared" si="32"/>
        <v>270000</v>
      </c>
    </row>
    <row r="580" spans="1:10" ht="15.75">
      <c r="A580" s="9"/>
      <c r="B580" s="10"/>
      <c r="C580" s="11">
        <v>4309</v>
      </c>
      <c r="D580" s="12" t="s">
        <v>93</v>
      </c>
      <c r="E580" s="13"/>
      <c r="F580" s="13">
        <v>2500</v>
      </c>
      <c r="G580" s="13"/>
      <c r="H580" s="271">
        <f t="shared" si="32"/>
        <v>2500</v>
      </c>
    </row>
    <row r="581" spans="1:10" ht="15.75">
      <c r="A581" s="9"/>
      <c r="B581" s="10"/>
      <c r="C581" s="11">
        <v>4430</v>
      </c>
      <c r="D581" s="12" t="s">
        <v>95</v>
      </c>
      <c r="E581" s="13">
        <v>63600</v>
      </c>
      <c r="F581" s="13"/>
      <c r="G581" s="13"/>
      <c r="H581" s="271">
        <f t="shared" si="32"/>
        <v>63600</v>
      </c>
    </row>
    <row r="582" spans="1:10" ht="15.75">
      <c r="A582" s="9"/>
      <c r="B582" s="10"/>
      <c r="C582" s="70">
        <v>6010</v>
      </c>
      <c r="D582" s="71" t="s">
        <v>399</v>
      </c>
      <c r="E582" s="13">
        <f>600000</f>
        <v>600000</v>
      </c>
      <c r="F582" s="13"/>
      <c r="G582" s="13"/>
      <c r="H582" s="271">
        <f t="shared" si="32"/>
        <v>600000</v>
      </c>
    </row>
    <row r="583" spans="1:10" ht="15.75">
      <c r="A583" s="9"/>
      <c r="B583" s="10"/>
      <c r="C583" s="11">
        <v>6050</v>
      </c>
      <c r="D583" s="12" t="s">
        <v>98</v>
      </c>
      <c r="E583" s="13">
        <f>175319</f>
        <v>175319</v>
      </c>
      <c r="F583" s="13"/>
      <c r="G583" s="13"/>
      <c r="H583" s="271">
        <f t="shared" si="32"/>
        <v>175319</v>
      </c>
    </row>
    <row r="584" spans="1:10" ht="15.75">
      <c r="A584" s="9">
        <v>921</v>
      </c>
      <c r="B584" s="10"/>
      <c r="C584" s="11"/>
      <c r="D584" s="12" t="s">
        <v>175</v>
      </c>
      <c r="E584" s="13">
        <f>E585+E590+E598+E601+E608</f>
        <v>10796515.65</v>
      </c>
      <c r="F584" s="13">
        <f>F585+F590+F598+F601+F608</f>
        <v>133887</v>
      </c>
      <c r="G584" s="13">
        <f>G585+G590+G598+G601+G608</f>
        <v>981900</v>
      </c>
      <c r="H584" s="402">
        <f>H585+H590+H598+H601+H608</f>
        <v>9948502.6500000004</v>
      </c>
      <c r="J584" s="23"/>
    </row>
    <row r="585" spans="1:10" ht="15.75">
      <c r="A585" s="9"/>
      <c r="B585" s="10">
        <v>92105</v>
      </c>
      <c r="C585" s="11"/>
      <c r="D585" s="12" t="s">
        <v>176</v>
      </c>
      <c r="E585" s="13">
        <f>SUM(E586:E589)</f>
        <v>275183</v>
      </c>
      <c r="F585" s="13">
        <f>SUM(F586:F589)</f>
        <v>15887</v>
      </c>
      <c r="G585" s="13">
        <f>SUM(G586:G589)</f>
        <v>0</v>
      </c>
      <c r="H585" s="271">
        <f>SUM(H586:H589)</f>
        <v>291070</v>
      </c>
    </row>
    <row r="586" spans="1:10" ht="60" customHeight="1">
      <c r="A586" s="9"/>
      <c r="B586" s="10"/>
      <c r="C586" s="11">
        <v>2360</v>
      </c>
      <c r="D586" s="12" t="s">
        <v>324</v>
      </c>
      <c r="E586" s="13">
        <v>10000</v>
      </c>
      <c r="F586" s="13"/>
      <c r="G586" s="13"/>
      <c r="H586" s="271">
        <f>E586+F586-G586</f>
        <v>10000</v>
      </c>
    </row>
    <row r="587" spans="1:10" ht="15.75">
      <c r="A587" s="9"/>
      <c r="B587" s="10"/>
      <c r="C587" s="11">
        <v>4170</v>
      </c>
      <c r="D587" s="12" t="s">
        <v>101</v>
      </c>
      <c r="E587" s="13">
        <f>15000+740</f>
        <v>15740</v>
      </c>
      <c r="F587" s="13"/>
      <c r="G587" s="13"/>
      <c r="H587" s="271">
        <f>E587+F587-G587</f>
        <v>15740</v>
      </c>
    </row>
    <row r="588" spans="1:10" ht="15.75">
      <c r="A588" s="9"/>
      <c r="B588" s="10"/>
      <c r="C588" s="11">
        <v>4210</v>
      </c>
      <c r="D588" s="12" t="s">
        <v>102</v>
      </c>
      <c r="E588" s="13">
        <f>50000+23500+5432-3000</f>
        <v>75932</v>
      </c>
      <c r="F588" s="13">
        <f>1100+2000</f>
        <v>3100</v>
      </c>
      <c r="G588" s="13"/>
      <c r="H588" s="271">
        <f>E588+F588-G588</f>
        <v>79032</v>
      </c>
    </row>
    <row r="589" spans="1:10" ht="15.75">
      <c r="A589" s="9"/>
      <c r="B589" s="10"/>
      <c r="C589" s="11">
        <v>4300</v>
      </c>
      <c r="D589" s="12" t="s">
        <v>93</v>
      </c>
      <c r="E589" s="13">
        <f>130000+40000+5000-4489+3000</f>
        <v>173511</v>
      </c>
      <c r="F589" s="13">
        <f>3087+9000+700</f>
        <v>12787</v>
      </c>
      <c r="G589" s="13"/>
      <c r="H589" s="271">
        <f>E589+F589-G589</f>
        <v>186298</v>
      </c>
    </row>
    <row r="590" spans="1:10" ht="15.75">
      <c r="A590" s="9"/>
      <c r="B590" s="10">
        <v>92109</v>
      </c>
      <c r="C590" s="11"/>
      <c r="D590" s="12" t="s">
        <v>177</v>
      </c>
      <c r="E590" s="13">
        <f>SUM(E591:E597)</f>
        <v>6666550.6500000004</v>
      </c>
      <c r="F590" s="13">
        <f>SUM(F591:F597)</f>
        <v>0</v>
      </c>
      <c r="G590" s="13">
        <f>SUM(G591:G597)</f>
        <v>3900</v>
      </c>
      <c r="H590" s="271">
        <f>SUM(H591:H597)</f>
        <v>6662650.6500000004</v>
      </c>
    </row>
    <row r="591" spans="1:10" ht="26.25" customHeight="1">
      <c r="A591" s="9"/>
      <c r="B591" s="10"/>
      <c r="C591" s="11">
        <v>2480</v>
      </c>
      <c r="D591" s="12" t="s">
        <v>178</v>
      </c>
      <c r="E591" s="13">
        <f>4500000-200000+100000+365000+350000</f>
        <v>5115000</v>
      </c>
      <c r="F591" s="13"/>
      <c r="G591" s="13"/>
      <c r="H591" s="271">
        <f>E591+F591-G591</f>
        <v>5115000</v>
      </c>
    </row>
    <row r="592" spans="1:10" ht="15.75">
      <c r="A592" s="9"/>
      <c r="B592" s="10"/>
      <c r="C592" s="11">
        <v>4210</v>
      </c>
      <c r="D592" s="12" t="s">
        <v>102</v>
      </c>
      <c r="E592" s="13">
        <f>10000+19500+5429+160</f>
        <v>35089</v>
      </c>
      <c r="F592" s="13"/>
      <c r="G592" s="13">
        <f>1100</f>
        <v>1100</v>
      </c>
      <c r="H592" s="271">
        <f t="shared" ref="H592:H597" si="33">E592+F592-G592</f>
        <v>33989</v>
      </c>
    </row>
    <row r="593" spans="1:8" ht="15.75">
      <c r="A593" s="9"/>
      <c r="B593" s="10"/>
      <c r="C593" s="11">
        <v>4270</v>
      </c>
      <c r="D593" s="12" t="s">
        <v>110</v>
      </c>
      <c r="E593" s="13">
        <v>200000</v>
      </c>
      <c r="F593" s="13"/>
      <c r="G593" s="13"/>
      <c r="H593" s="271">
        <f t="shared" si="33"/>
        <v>200000</v>
      </c>
    </row>
    <row r="594" spans="1:8" ht="15.75">
      <c r="A594" s="9"/>
      <c r="B594" s="10"/>
      <c r="C594" s="11">
        <v>4300</v>
      </c>
      <c r="D594" s="12" t="s">
        <v>93</v>
      </c>
      <c r="E594" s="13">
        <f>50000+19000+7621-160+3300+700-19000</f>
        <v>61461</v>
      </c>
      <c r="F594" s="13"/>
      <c r="G594" s="13">
        <f>1000+1800</f>
        <v>2800</v>
      </c>
      <c r="H594" s="271">
        <f t="shared" si="33"/>
        <v>58661</v>
      </c>
    </row>
    <row r="595" spans="1:8" ht="15.75">
      <c r="A595" s="9"/>
      <c r="B595" s="10"/>
      <c r="C595" s="11">
        <v>4430</v>
      </c>
      <c r="D595" s="12" t="s">
        <v>95</v>
      </c>
      <c r="E595" s="13">
        <v>15000</v>
      </c>
      <c r="F595" s="13"/>
      <c r="G595" s="13"/>
      <c r="H595" s="271">
        <f t="shared" si="33"/>
        <v>15000</v>
      </c>
    </row>
    <row r="596" spans="1:8" ht="15.75">
      <c r="A596" s="9"/>
      <c r="B596" s="10"/>
      <c r="C596" s="11">
        <v>6050</v>
      </c>
      <c r="D596" s="12" t="s">
        <v>98</v>
      </c>
      <c r="E596" s="13">
        <f>200000+630000-130000-460000</f>
        <v>240000</v>
      </c>
      <c r="F596" s="13"/>
      <c r="G596" s="13"/>
      <c r="H596" s="271">
        <f t="shared" si="33"/>
        <v>240000</v>
      </c>
    </row>
    <row r="597" spans="1:8" ht="47.25">
      <c r="A597" s="9"/>
      <c r="B597" s="10"/>
      <c r="C597" s="84">
        <v>6370</v>
      </c>
      <c r="D597" s="85" t="s">
        <v>215</v>
      </c>
      <c r="E597" s="13">
        <f>1000000+0.65</f>
        <v>1000000.65</v>
      </c>
      <c r="F597" s="13"/>
      <c r="G597" s="13"/>
      <c r="H597" s="271">
        <f t="shared" si="33"/>
        <v>1000000.65</v>
      </c>
    </row>
    <row r="598" spans="1:8" ht="15.75">
      <c r="A598" s="9"/>
      <c r="B598" s="10">
        <v>92116</v>
      </c>
      <c r="C598" s="11"/>
      <c r="D598" s="12" t="s">
        <v>179</v>
      </c>
      <c r="E598" s="13">
        <f>SUM(E599:E600)</f>
        <v>1998182</v>
      </c>
      <c r="F598" s="13">
        <f>SUM(F599:F600)</f>
        <v>0</v>
      </c>
      <c r="G598" s="13">
        <f>SUM(G599:G600)</f>
        <v>0</v>
      </c>
      <c r="H598" s="271">
        <f>SUM(H599:H600)</f>
        <v>1998182</v>
      </c>
    </row>
    <row r="599" spans="1:8" ht="28.5" customHeight="1">
      <c r="A599" s="9"/>
      <c r="B599" s="10"/>
      <c r="C599" s="11">
        <v>2480</v>
      </c>
      <c r="D599" s="12" t="s">
        <v>178</v>
      </c>
      <c r="E599" s="13">
        <f>1673182+135000</f>
        <v>1808182</v>
      </c>
      <c r="F599" s="13"/>
      <c r="G599" s="13"/>
      <c r="H599" s="271">
        <f>E599+F599-G599</f>
        <v>1808182</v>
      </c>
    </row>
    <row r="600" spans="1:8" ht="31.5">
      <c r="A600" s="9"/>
      <c r="B600" s="10"/>
      <c r="C600" s="11">
        <v>2800</v>
      </c>
      <c r="D600" s="12" t="s">
        <v>346</v>
      </c>
      <c r="E600" s="13">
        <v>190000</v>
      </c>
      <c r="F600" s="13"/>
      <c r="G600" s="13"/>
      <c r="H600" s="271">
        <f>E600+F600-G600</f>
        <v>190000</v>
      </c>
    </row>
    <row r="601" spans="1:8" ht="15.75">
      <c r="A601" s="9"/>
      <c r="B601" s="10">
        <v>92120</v>
      </c>
      <c r="C601" s="11"/>
      <c r="D601" s="12" t="s">
        <v>180</v>
      </c>
      <c r="E601" s="13">
        <f>SUM(E602:E607)</f>
        <v>1837600</v>
      </c>
      <c r="F601" s="13">
        <f>SUM(F602:F607)</f>
        <v>118000</v>
      </c>
      <c r="G601" s="13">
        <f>SUM(G602:G607)</f>
        <v>978000</v>
      </c>
      <c r="H601" s="271">
        <f>SUM(H602:H607)</f>
        <v>977600</v>
      </c>
    </row>
    <row r="602" spans="1:8" ht="15.75">
      <c r="A602" s="9"/>
      <c r="B602" s="10"/>
      <c r="C602" s="11">
        <v>4110</v>
      </c>
      <c r="D602" s="12" t="s">
        <v>99</v>
      </c>
      <c r="E602" s="13">
        <v>4000</v>
      </c>
      <c r="F602" s="13"/>
      <c r="G602" s="13"/>
      <c r="H602" s="271">
        <f t="shared" ref="H602:H607" si="34">E602+F602-G602</f>
        <v>4000</v>
      </c>
    </row>
    <row r="603" spans="1:8" ht="15.75">
      <c r="A603" s="9"/>
      <c r="B603" s="10"/>
      <c r="C603" s="11">
        <v>4120</v>
      </c>
      <c r="D603" s="12" t="s">
        <v>100</v>
      </c>
      <c r="E603" s="13">
        <v>600</v>
      </c>
      <c r="F603" s="13"/>
      <c r="G603" s="13"/>
      <c r="H603" s="271">
        <f t="shared" si="34"/>
        <v>600</v>
      </c>
    </row>
    <row r="604" spans="1:8" ht="15.75">
      <c r="A604" s="9"/>
      <c r="B604" s="10"/>
      <c r="C604" s="11">
        <v>4170</v>
      </c>
      <c r="D604" s="12" t="s">
        <v>101</v>
      </c>
      <c r="E604" s="13">
        <v>23000</v>
      </c>
      <c r="F604" s="13"/>
      <c r="G604" s="13"/>
      <c r="H604" s="271">
        <f t="shared" si="34"/>
        <v>23000</v>
      </c>
    </row>
    <row r="605" spans="1:8" ht="15.75">
      <c r="A605" s="62"/>
      <c r="B605" s="63"/>
      <c r="C605" s="84">
        <v>6050</v>
      </c>
      <c r="D605" s="85" t="s">
        <v>98</v>
      </c>
      <c r="E605" s="86">
        <f>100000+100000+750000</f>
        <v>950000</v>
      </c>
      <c r="F605" s="86"/>
      <c r="G605" s="86">
        <v>118000</v>
      </c>
      <c r="H605" s="271">
        <f t="shared" si="34"/>
        <v>832000</v>
      </c>
    </row>
    <row r="606" spans="1:8" ht="47.25">
      <c r="A606" s="62"/>
      <c r="B606" s="63"/>
      <c r="C606" s="84">
        <v>6370</v>
      </c>
      <c r="D606" s="85" t="s">
        <v>215</v>
      </c>
      <c r="E606" s="86"/>
      <c r="F606" s="86">
        <v>118000</v>
      </c>
      <c r="G606" s="86"/>
      <c r="H606" s="271">
        <f t="shared" si="34"/>
        <v>118000</v>
      </c>
    </row>
    <row r="607" spans="1:8" ht="60" customHeight="1">
      <c r="A607" s="62"/>
      <c r="B607" s="63"/>
      <c r="C607" s="87">
        <v>6570</v>
      </c>
      <c r="D607" s="88" t="s">
        <v>218</v>
      </c>
      <c r="E607" s="89">
        <f>352800+490000+7200+10000</f>
        <v>860000</v>
      </c>
      <c r="F607" s="89"/>
      <c r="G607" s="89">
        <v>860000</v>
      </c>
      <c r="H607" s="271">
        <f t="shared" si="34"/>
        <v>0</v>
      </c>
    </row>
    <row r="608" spans="1:8" ht="15.75">
      <c r="A608" s="9"/>
      <c r="B608" s="10">
        <v>92195</v>
      </c>
      <c r="C608" s="11"/>
      <c r="D608" s="12" t="s">
        <v>8</v>
      </c>
      <c r="E608" s="13">
        <f>SUM(E609)</f>
        <v>19000</v>
      </c>
      <c r="F608" s="13">
        <f t="shared" ref="F608:G608" si="35">SUM(F609)</f>
        <v>0</v>
      </c>
      <c r="G608" s="13">
        <f t="shared" si="35"/>
        <v>0</v>
      </c>
      <c r="H608" s="271">
        <f>H609</f>
        <v>19000</v>
      </c>
    </row>
    <row r="609" spans="1:10" ht="15.75">
      <c r="A609" s="62"/>
      <c r="B609" s="63"/>
      <c r="C609" s="11">
        <v>4300</v>
      </c>
      <c r="D609" s="12" t="s">
        <v>93</v>
      </c>
      <c r="E609" s="89">
        <f>19000</f>
        <v>19000</v>
      </c>
      <c r="F609" s="89"/>
      <c r="G609" s="89"/>
      <c r="H609" s="271">
        <f>E609+F609-G609</f>
        <v>19000</v>
      </c>
    </row>
    <row r="610" spans="1:10" ht="15.75">
      <c r="A610" s="9">
        <v>926</v>
      </c>
      <c r="B610" s="10"/>
      <c r="C610" s="11"/>
      <c r="D610" s="12" t="s">
        <v>89</v>
      </c>
      <c r="E610" s="13">
        <f>E611+E616+E637+E641</f>
        <v>9572091</v>
      </c>
      <c r="F610" s="13">
        <f>F611+F616+F637+F641</f>
        <v>332500</v>
      </c>
      <c r="G610" s="13">
        <f>G611+G616+G637+G641</f>
        <v>242500</v>
      </c>
      <c r="H610" s="271">
        <f>H611+H616+H637+H641</f>
        <v>9662091</v>
      </c>
      <c r="J610" s="23"/>
    </row>
    <row r="611" spans="1:10" ht="15.75">
      <c r="A611" s="9"/>
      <c r="B611" s="10">
        <v>92601</v>
      </c>
      <c r="C611" s="11"/>
      <c r="D611" s="12" t="s">
        <v>181</v>
      </c>
      <c r="E611" s="13">
        <f>SUM(E612:E615)</f>
        <v>2206000</v>
      </c>
      <c r="F611" s="13">
        <f>SUM(F612:F615)</f>
        <v>0</v>
      </c>
      <c r="G611" s="13">
        <f>SUM(G612:G615)</f>
        <v>4000</v>
      </c>
      <c r="H611" s="271">
        <f>SUM(H612:H615)</f>
        <v>2202000</v>
      </c>
    </row>
    <row r="612" spans="1:10" ht="15.75">
      <c r="A612" s="9"/>
      <c r="B612" s="10"/>
      <c r="C612" s="87">
        <v>4270</v>
      </c>
      <c r="D612" s="88" t="s">
        <v>110</v>
      </c>
      <c r="E612" s="89">
        <f>1800000-415000+215000+280000-1233000</f>
        <v>647000</v>
      </c>
      <c r="F612" s="89"/>
      <c r="G612" s="89"/>
      <c r="H612" s="300">
        <f>E612+F612-G612</f>
        <v>647000</v>
      </c>
    </row>
    <row r="613" spans="1:10" ht="15.75">
      <c r="A613" s="9"/>
      <c r="B613" s="10"/>
      <c r="C613" s="87">
        <v>4300</v>
      </c>
      <c r="D613" s="88" t="s">
        <v>93</v>
      </c>
      <c r="E613" s="89">
        <f>450000+14000</f>
        <v>464000</v>
      </c>
      <c r="F613" s="89"/>
      <c r="G613" s="89">
        <v>4000</v>
      </c>
      <c r="H613" s="300">
        <f>E613+F613-G613</f>
        <v>460000</v>
      </c>
    </row>
    <row r="614" spans="1:10" ht="15.75">
      <c r="A614" s="9"/>
      <c r="B614" s="10"/>
      <c r="C614" s="11">
        <v>4430</v>
      </c>
      <c r="D614" s="12" t="s">
        <v>95</v>
      </c>
      <c r="E614" s="13">
        <v>25000</v>
      </c>
      <c r="F614" s="13"/>
      <c r="G614" s="13"/>
      <c r="H614" s="300">
        <f>E614+F614-G614</f>
        <v>25000</v>
      </c>
    </row>
    <row r="615" spans="1:10" ht="15.75">
      <c r="A615" s="9"/>
      <c r="B615" s="10"/>
      <c r="C615" s="87">
        <v>6050</v>
      </c>
      <c r="D615" s="88" t="s">
        <v>98</v>
      </c>
      <c r="E615" s="89">
        <f>2071000-600000+250000+349000-300000+100000-710000-90000</f>
        <v>1070000</v>
      </c>
      <c r="F615" s="89"/>
      <c r="G615" s="89"/>
      <c r="H615" s="300">
        <f>E615+F615-G615</f>
        <v>1070000</v>
      </c>
    </row>
    <row r="616" spans="1:10" ht="15.75">
      <c r="A616" s="9"/>
      <c r="B616" s="10">
        <v>92604</v>
      </c>
      <c r="C616" s="11"/>
      <c r="D616" s="12" t="s">
        <v>90</v>
      </c>
      <c r="E616" s="13">
        <f>SUM(E617:E636)</f>
        <v>5834273</v>
      </c>
      <c r="F616" s="13">
        <f>SUM(F617:F636)</f>
        <v>332500</v>
      </c>
      <c r="G616" s="13">
        <f>SUM(G617:G636)</f>
        <v>153500</v>
      </c>
      <c r="H616" s="271">
        <f>SUM(H617:H636)</f>
        <v>6013273</v>
      </c>
      <c r="J616" s="23"/>
    </row>
    <row r="617" spans="1:10" ht="15.75">
      <c r="A617" s="9"/>
      <c r="B617" s="10"/>
      <c r="C617" s="11">
        <v>3020</v>
      </c>
      <c r="D617" s="12" t="s">
        <v>119</v>
      </c>
      <c r="E617" s="13">
        <v>18000</v>
      </c>
      <c r="F617" s="13"/>
      <c r="G617" s="13"/>
      <c r="H617" s="271">
        <f>E617+F617-G617</f>
        <v>18000</v>
      </c>
    </row>
    <row r="618" spans="1:10" ht="15.75">
      <c r="A618" s="9"/>
      <c r="B618" s="10"/>
      <c r="C618" s="11">
        <v>4010</v>
      </c>
      <c r="D618" s="12" t="s">
        <v>116</v>
      </c>
      <c r="E618" s="13">
        <f>1559381+25000</f>
        <v>1584381</v>
      </c>
      <c r="F618" s="13"/>
      <c r="G618" s="13"/>
      <c r="H618" s="271">
        <f t="shared" ref="H618:H636" si="36">E618+F618-G618</f>
        <v>1584381</v>
      </c>
    </row>
    <row r="619" spans="1:10" ht="15.75">
      <c r="A619" s="9"/>
      <c r="B619" s="10"/>
      <c r="C619" s="11">
        <v>4040</v>
      </c>
      <c r="D619" s="12" t="s">
        <v>120</v>
      </c>
      <c r="E619" s="13">
        <f>118652-6655</f>
        <v>111997</v>
      </c>
      <c r="F619" s="13"/>
      <c r="G619" s="13"/>
      <c r="H619" s="271">
        <f t="shared" si="36"/>
        <v>111997</v>
      </c>
    </row>
    <row r="620" spans="1:10" ht="15.75">
      <c r="A620" s="9"/>
      <c r="B620" s="10"/>
      <c r="C620" s="11">
        <v>4110</v>
      </c>
      <c r="D620" s="12" t="s">
        <v>99</v>
      </c>
      <c r="E620" s="13">
        <v>371589</v>
      </c>
      <c r="F620" s="13"/>
      <c r="G620" s="13"/>
      <c r="H620" s="271">
        <f t="shared" si="36"/>
        <v>371589</v>
      </c>
    </row>
    <row r="621" spans="1:10" ht="15.75">
      <c r="A621" s="9"/>
      <c r="B621" s="10"/>
      <c r="C621" s="11">
        <v>4120</v>
      </c>
      <c r="D621" s="12" t="s">
        <v>100</v>
      </c>
      <c r="E621" s="13">
        <v>53240</v>
      </c>
      <c r="F621" s="13"/>
      <c r="G621" s="13"/>
      <c r="H621" s="271">
        <f t="shared" si="36"/>
        <v>53240</v>
      </c>
    </row>
    <row r="622" spans="1:10" ht="15.75">
      <c r="A622" s="9"/>
      <c r="B622" s="10"/>
      <c r="C622" s="11">
        <v>4170</v>
      </c>
      <c r="D622" s="12" t="s">
        <v>101</v>
      </c>
      <c r="E622" s="13">
        <f>495000+25000</f>
        <v>520000</v>
      </c>
      <c r="F622" s="13">
        <v>20000</v>
      </c>
      <c r="G622" s="13"/>
      <c r="H622" s="271">
        <f t="shared" si="36"/>
        <v>540000</v>
      </c>
    </row>
    <row r="623" spans="1:10" ht="15.75">
      <c r="A623" s="9"/>
      <c r="B623" s="10"/>
      <c r="C623" s="11">
        <v>4210</v>
      </c>
      <c r="D623" s="12" t="s">
        <v>102</v>
      </c>
      <c r="E623" s="13">
        <f>398000+30000</f>
        <v>428000</v>
      </c>
      <c r="F623" s="13"/>
      <c r="G623" s="13"/>
      <c r="H623" s="271">
        <f t="shared" si="36"/>
        <v>428000</v>
      </c>
    </row>
    <row r="624" spans="1:10" ht="15.75">
      <c r="A624" s="9"/>
      <c r="B624" s="10"/>
      <c r="C624" s="11">
        <v>4260</v>
      </c>
      <c r="D624" s="12" t="s">
        <v>111</v>
      </c>
      <c r="E624" s="13">
        <v>740000</v>
      </c>
      <c r="F624" s="13"/>
      <c r="G624" s="13">
        <v>150000</v>
      </c>
      <c r="H624" s="271">
        <f t="shared" si="36"/>
        <v>590000</v>
      </c>
    </row>
    <row r="625" spans="1:8" ht="15.75">
      <c r="A625" s="9"/>
      <c r="B625" s="10"/>
      <c r="C625" s="11">
        <v>4280</v>
      </c>
      <c r="D625" s="12" t="s">
        <v>123</v>
      </c>
      <c r="E625" s="13">
        <v>5000</v>
      </c>
      <c r="F625" s="13"/>
      <c r="G625" s="13"/>
      <c r="H625" s="271">
        <f t="shared" si="36"/>
        <v>5000</v>
      </c>
    </row>
    <row r="626" spans="1:8" ht="15.75">
      <c r="A626" s="9"/>
      <c r="B626" s="10"/>
      <c r="C626" s="11">
        <v>4300</v>
      </c>
      <c r="D626" s="12" t="s">
        <v>93</v>
      </c>
      <c r="E626" s="13">
        <f>1250000+20000+80000+50000+70000+128000</f>
        <v>1598000</v>
      </c>
      <c r="F626" s="13">
        <v>293000</v>
      </c>
      <c r="G626" s="13"/>
      <c r="H626" s="271">
        <f t="shared" si="36"/>
        <v>1891000</v>
      </c>
    </row>
    <row r="627" spans="1:8" ht="15.75">
      <c r="A627" s="9"/>
      <c r="B627" s="10"/>
      <c r="C627" s="11">
        <v>4360</v>
      </c>
      <c r="D627" s="12" t="s">
        <v>124</v>
      </c>
      <c r="E627" s="13">
        <f>30000+6176</f>
        <v>36176</v>
      </c>
      <c r="F627" s="13"/>
      <c r="G627" s="13"/>
      <c r="H627" s="271">
        <f t="shared" si="36"/>
        <v>36176</v>
      </c>
    </row>
    <row r="628" spans="1:8" ht="15.75">
      <c r="A628" s="9"/>
      <c r="B628" s="10"/>
      <c r="C628" s="11">
        <v>4390</v>
      </c>
      <c r="D628" s="12" t="s">
        <v>182</v>
      </c>
      <c r="E628" s="13">
        <v>2500</v>
      </c>
      <c r="F628" s="13"/>
      <c r="G628" s="13"/>
      <c r="H628" s="271">
        <f t="shared" si="36"/>
        <v>2500</v>
      </c>
    </row>
    <row r="629" spans="1:8" ht="15.75">
      <c r="A629" s="9"/>
      <c r="B629" s="10"/>
      <c r="C629" s="11">
        <v>4410</v>
      </c>
      <c r="D629" s="12" t="s">
        <v>125</v>
      </c>
      <c r="E629" s="13">
        <v>14500</v>
      </c>
      <c r="F629" s="13"/>
      <c r="G629" s="13">
        <v>3000</v>
      </c>
      <c r="H629" s="271">
        <f t="shared" si="36"/>
        <v>11500</v>
      </c>
    </row>
    <row r="630" spans="1:8" ht="15.75">
      <c r="A630" s="9"/>
      <c r="B630" s="10"/>
      <c r="C630" s="70">
        <v>4420</v>
      </c>
      <c r="D630" s="71" t="s">
        <v>126</v>
      </c>
      <c r="E630" s="13">
        <v>500</v>
      </c>
      <c r="F630" s="13"/>
      <c r="G630" s="13">
        <v>500</v>
      </c>
      <c r="H630" s="271">
        <f t="shared" si="36"/>
        <v>0</v>
      </c>
    </row>
    <row r="631" spans="1:8" ht="15.75">
      <c r="A631" s="9"/>
      <c r="B631" s="10"/>
      <c r="C631" s="11">
        <v>4430</v>
      </c>
      <c r="D631" s="12" t="s">
        <v>95</v>
      </c>
      <c r="E631" s="13">
        <v>60000</v>
      </c>
      <c r="F631" s="13">
        <v>18000</v>
      </c>
      <c r="G631" s="13"/>
      <c r="H631" s="271">
        <f t="shared" si="36"/>
        <v>78000</v>
      </c>
    </row>
    <row r="632" spans="1:8" ht="15.75">
      <c r="A632" s="9"/>
      <c r="B632" s="10"/>
      <c r="C632" s="11">
        <v>4440</v>
      </c>
      <c r="D632" s="12" t="s">
        <v>127</v>
      </c>
      <c r="E632" s="13">
        <f>34235+6655</f>
        <v>40890</v>
      </c>
      <c r="F632" s="13"/>
      <c r="G632" s="13"/>
      <c r="H632" s="271">
        <f t="shared" si="36"/>
        <v>40890</v>
      </c>
    </row>
    <row r="633" spans="1:8" ht="29.25" customHeight="1">
      <c r="A633" s="9"/>
      <c r="B633" s="10"/>
      <c r="C633" s="11">
        <v>4500</v>
      </c>
      <c r="D633" s="12" t="s">
        <v>352</v>
      </c>
      <c r="E633" s="13">
        <v>500</v>
      </c>
      <c r="F633" s="13"/>
      <c r="G633" s="13"/>
      <c r="H633" s="271">
        <f t="shared" si="36"/>
        <v>500</v>
      </c>
    </row>
    <row r="634" spans="1:8" ht="26.25" customHeight="1">
      <c r="A634" s="9"/>
      <c r="B634" s="10"/>
      <c r="C634" s="11">
        <v>4700</v>
      </c>
      <c r="D634" s="12" t="s">
        <v>128</v>
      </c>
      <c r="E634" s="13">
        <v>8000</v>
      </c>
      <c r="F634" s="13"/>
      <c r="G634" s="13"/>
      <c r="H634" s="271">
        <f t="shared" si="36"/>
        <v>8000</v>
      </c>
    </row>
    <row r="635" spans="1:8" ht="15.75">
      <c r="A635" s="9"/>
      <c r="B635" s="10"/>
      <c r="C635" s="11">
        <v>4710</v>
      </c>
      <c r="D635" s="12" t="s">
        <v>103</v>
      </c>
      <c r="E635" s="13">
        <v>12000</v>
      </c>
      <c r="F635" s="13">
        <v>1500</v>
      </c>
      <c r="G635" s="13"/>
      <c r="H635" s="271">
        <f t="shared" si="36"/>
        <v>13500</v>
      </c>
    </row>
    <row r="636" spans="1:8" ht="15.75">
      <c r="A636" s="9"/>
      <c r="B636" s="10"/>
      <c r="C636" s="87">
        <v>6050</v>
      </c>
      <c r="D636" s="88" t="s">
        <v>98</v>
      </c>
      <c r="E636" s="13">
        <f>580000+249000-600000</f>
        <v>229000</v>
      </c>
      <c r="F636" s="13"/>
      <c r="G636" s="13"/>
      <c r="H636" s="271">
        <f t="shared" si="36"/>
        <v>229000</v>
      </c>
    </row>
    <row r="637" spans="1:8" ht="15.75">
      <c r="A637" s="9"/>
      <c r="B637" s="10">
        <v>92605</v>
      </c>
      <c r="C637" s="11"/>
      <c r="D637" s="12" t="s">
        <v>183</v>
      </c>
      <c r="E637" s="13">
        <f>SUM(E638:E640)</f>
        <v>468818</v>
      </c>
      <c r="F637" s="13">
        <f>SUM(F638:F640)</f>
        <v>0</v>
      </c>
      <c r="G637" s="13">
        <f>SUM(G638:G640)</f>
        <v>0</v>
      </c>
      <c r="H637" s="271">
        <f>SUM(H638:H640)</f>
        <v>468818</v>
      </c>
    </row>
    <row r="638" spans="1:8" ht="60" customHeight="1">
      <c r="A638" s="9"/>
      <c r="B638" s="10"/>
      <c r="C638" s="11">
        <v>2360</v>
      </c>
      <c r="D638" s="12" t="s">
        <v>324</v>
      </c>
      <c r="E638" s="13">
        <f>420000+10000</f>
        <v>430000</v>
      </c>
      <c r="F638" s="13"/>
      <c r="G638" s="13"/>
      <c r="H638" s="271">
        <f>E638+F638-G638</f>
        <v>430000</v>
      </c>
    </row>
    <row r="639" spans="1:8" ht="15.75">
      <c r="A639" s="9"/>
      <c r="B639" s="10"/>
      <c r="C639" s="11">
        <v>4210</v>
      </c>
      <c r="D639" s="12" t="s">
        <v>102</v>
      </c>
      <c r="E639" s="13">
        <f>12000+7945</f>
        <v>19945</v>
      </c>
      <c r="F639" s="13"/>
      <c r="G639" s="13"/>
      <c r="H639" s="271">
        <f>E639+F639-G639</f>
        <v>19945</v>
      </c>
    </row>
    <row r="640" spans="1:8" ht="15.75">
      <c r="A640" s="9"/>
      <c r="B640" s="10"/>
      <c r="C640" s="11">
        <v>4300</v>
      </c>
      <c r="D640" s="12" t="s">
        <v>93</v>
      </c>
      <c r="E640" s="13">
        <f>7000+11873</f>
        <v>18873</v>
      </c>
      <c r="F640" s="13"/>
      <c r="G640" s="13"/>
      <c r="H640" s="271">
        <f>E640+F640-G640</f>
        <v>18873</v>
      </c>
    </row>
    <row r="641" spans="1:8" ht="15.75">
      <c r="A641" s="9"/>
      <c r="B641" s="10">
        <v>92695</v>
      </c>
      <c r="C641" s="11"/>
      <c r="D641" s="12" t="s">
        <v>8</v>
      </c>
      <c r="E641" s="13">
        <f>SUM(E642:E644)</f>
        <v>1063000</v>
      </c>
      <c r="F641" s="13">
        <f>SUM(F642:F644)</f>
        <v>0</v>
      </c>
      <c r="G641" s="13">
        <f>SUM(G642:G644)</f>
        <v>85000</v>
      </c>
      <c r="H641" s="271">
        <f>SUM(H642:H644)</f>
        <v>978000</v>
      </c>
    </row>
    <row r="642" spans="1:8" ht="15.75">
      <c r="A642" s="9"/>
      <c r="B642" s="10"/>
      <c r="C642" s="11">
        <v>4210</v>
      </c>
      <c r="D642" s="12" t="s">
        <v>102</v>
      </c>
      <c r="E642" s="13">
        <v>5000</v>
      </c>
      <c r="F642" s="13"/>
      <c r="G642" s="13"/>
      <c r="H642" s="271">
        <f>E642+F642-G642</f>
        <v>5000</v>
      </c>
    </row>
    <row r="643" spans="1:8" ht="15.75">
      <c r="A643" s="9"/>
      <c r="B643" s="10"/>
      <c r="C643" s="11">
        <v>4300</v>
      </c>
      <c r="D643" s="12" t="s">
        <v>93</v>
      </c>
      <c r="E643" s="13">
        <v>100000</v>
      </c>
      <c r="F643" s="13"/>
      <c r="G643" s="13"/>
      <c r="H643" s="271">
        <f>E643+F643-G643</f>
        <v>100000</v>
      </c>
    </row>
    <row r="644" spans="1:8" ht="15.75">
      <c r="A644" s="9"/>
      <c r="B644" s="10"/>
      <c r="C644" s="11">
        <v>6050</v>
      </c>
      <c r="D644" s="12" t="s">
        <v>98</v>
      </c>
      <c r="E644" s="13">
        <f>250000*5+120000-425000-120000+383000-250000</f>
        <v>958000</v>
      </c>
      <c r="F644" s="13"/>
      <c r="G644" s="13">
        <v>85000</v>
      </c>
      <c r="H644" s="271">
        <f>E644+F644-G644</f>
        <v>873000</v>
      </c>
    </row>
    <row r="645" spans="1:8" ht="15.75">
      <c r="A645" s="301"/>
      <c r="B645" s="302"/>
      <c r="C645" s="303"/>
      <c r="D645" s="304" t="s">
        <v>91</v>
      </c>
      <c r="E645" s="305">
        <f>E5+E27+E30+E54+E71+E82+E150+E171+E207+E211+E216+E357+E386+E469+E475+E485+E535+E584+E610</f>
        <v>310847281.12</v>
      </c>
      <c r="F645" s="305">
        <f>F5+F27+F30+F54+F71+F82+F150+F171+F207+F211+F216+F357+F386+F469+F475+F485+F535+F584+F610</f>
        <v>3647516.8200000003</v>
      </c>
      <c r="G645" s="305">
        <f>G5+G27+G30+G54+G71+G82+G150+G171+G207+G211+G216+G357+G386+G469+G475+G485+G535+G584+G610</f>
        <v>5546643.0199999996</v>
      </c>
      <c r="H645" s="305">
        <f>H5+H27+H30+H54+H71+H82+H150+H171+H207+H211+H216+H357+H386+H469+H475+H485+H535+H584+H610</f>
        <v>308948154.91999996</v>
      </c>
    </row>
    <row r="646" spans="1:8">
      <c r="E646" s="66"/>
    </row>
    <row r="647" spans="1:8">
      <c r="F647" s="23"/>
      <c r="H647" s="23"/>
    </row>
    <row r="648" spans="1:8">
      <c r="E648" s="23"/>
      <c r="F648" s="23"/>
      <c r="H648" s="23"/>
    </row>
    <row r="649" spans="1:8">
      <c r="F649" s="23"/>
    </row>
  </sheetData>
  <mergeCells count="1">
    <mergeCell ref="A1:H1"/>
  </mergeCells>
  <conditionalFormatting sqref="A210">
    <cfRule type="expression" dxfId="286" priority="340" stopIfTrue="1">
      <formula>$D209 = "OGÓŁEM:"</formula>
    </cfRule>
    <cfRule type="expression" dxfId="285" priority="341" stopIfTrue="1">
      <formula>LEN($A210)&gt;1</formula>
    </cfRule>
    <cfRule type="expression" dxfId="284" priority="342" stopIfTrue="1">
      <formula>LEN($B209)&gt;1</formula>
    </cfRule>
  </conditionalFormatting>
  <conditionalFormatting sqref="A19:F25 A27:H208 A211:H511 F512:H645 A512:E1030">
    <cfRule type="expression" dxfId="283" priority="1" stopIfTrue="1">
      <formula>$D19 = "OGÓŁEM:"</formula>
    </cfRule>
    <cfRule type="expression" dxfId="282" priority="2" stopIfTrue="1">
      <formula>LEN($A19)&gt;1</formula>
    </cfRule>
    <cfRule type="expression" dxfId="281" priority="3" stopIfTrue="1">
      <formula>LEN($B19)&gt;1</formula>
    </cfRule>
  </conditionalFormatting>
  <conditionalFormatting sqref="A5:H18">
    <cfRule type="expression" dxfId="280" priority="4" stopIfTrue="1">
      <formula>$D5 = "OGÓŁEM:"</formula>
    </cfRule>
    <cfRule type="expression" dxfId="279" priority="5" stopIfTrue="1">
      <formula>LEN($A5)&gt;1</formula>
    </cfRule>
    <cfRule type="expression" dxfId="278" priority="6" stopIfTrue="1">
      <formula>LEN($B5)&gt;1</formula>
    </cfRule>
  </conditionalFormatting>
  <conditionalFormatting sqref="B209:H209">
    <cfRule type="expression" dxfId="277" priority="344" stopIfTrue="1">
      <formula>LEN($A210)&gt;1</formula>
    </cfRule>
    <cfRule type="expression" dxfId="276" priority="345" stopIfTrue="1">
      <formula>LEN($B209)&gt;1</formula>
    </cfRule>
  </conditionalFormatting>
  <conditionalFormatting sqref="B209:H210">
    <cfRule type="expression" dxfId="275" priority="343" stopIfTrue="1">
      <formula>$D209 = "OGÓŁEM:"</formula>
    </cfRule>
  </conditionalFormatting>
  <conditionalFormatting sqref="B210:H210">
    <cfRule type="expression" dxfId="274" priority="347" stopIfTrue="1">
      <formula>LEN(#REF!)&gt;1</formula>
    </cfRule>
    <cfRule type="expression" dxfId="273" priority="348" stopIfTrue="1">
      <formula>LEN($B210)&gt;1</formula>
    </cfRule>
  </conditionalFormatting>
  <conditionalFormatting sqref="G19:H19 G20:G25 H20:H26 A26:G26">
    <cfRule type="expression" dxfId="272" priority="46" stopIfTrue="1">
      <formula>$D19 = "OGÓŁEM:"</formula>
    </cfRule>
    <cfRule type="expression" dxfId="271" priority="47" stopIfTrue="1">
      <formula>LEN($A19)&gt;1</formula>
    </cfRule>
    <cfRule type="expression" dxfId="270" priority="48" stopIfTrue="1">
      <formula>LEN($B19)&gt;1</formula>
    </cfRule>
  </conditionalFormatting>
  <pageMargins left="0.11811023622047245" right="0.11811023622047245" top="1.1417322834645669" bottom="0.55118110236220474" header="0.31496062992125984" footer="0.31496062992125984"/>
  <pageSetup paperSize="9" scale="68" fitToHeight="0" orientation="portrait" r:id="rId1"/>
  <headerFooter>
    <oddHeader xml:space="preserve">&amp;RZałącznik Nr 2
do Uchwały Nr XII/.../2024 
Rady Gminy Komorniki z dnia 28 listopada 2024r.    
w sprawie uchwały budżetowej na 2024r.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69A2-5763-4D48-8FC9-3AB4982135CE}">
  <sheetPr codeName="Arkusz11"/>
  <dimension ref="A1:J111"/>
  <sheetViews>
    <sheetView topLeftCell="A82" zoomScale="75" zoomScaleNormal="75" zoomScaleSheetLayoutView="75" workbookViewId="0">
      <selection activeCell="L95" sqref="L95"/>
    </sheetView>
  </sheetViews>
  <sheetFormatPr defaultRowHeight="15"/>
  <cols>
    <col min="1" max="1" width="5.7109375" style="67" customWidth="1"/>
    <col min="2" max="2" width="6.85546875" style="67" customWidth="1"/>
    <col min="3" max="3" width="8.42578125" style="67" customWidth="1"/>
    <col min="4" max="4" width="67.42578125" style="67" customWidth="1"/>
    <col min="5" max="5" width="17" style="67" customWidth="1"/>
    <col min="6" max="6" width="14.85546875" style="67" customWidth="1"/>
    <col min="7" max="7" width="15.42578125" style="67" customWidth="1"/>
    <col min="8" max="8" width="16.42578125" style="67" customWidth="1"/>
    <col min="9" max="9" width="9.140625" style="67"/>
    <col min="10" max="10" width="11.42578125" style="67" bestFit="1" customWidth="1"/>
    <col min="11" max="16384" width="9.140625" style="67"/>
  </cols>
  <sheetData>
    <row r="1" spans="1:8" ht="34.5" customHeight="1">
      <c r="A1" s="514" t="s">
        <v>350</v>
      </c>
      <c r="B1" s="514"/>
      <c r="C1" s="514"/>
      <c r="D1" s="514"/>
      <c r="E1" s="514"/>
      <c r="F1" s="515"/>
      <c r="G1" s="515"/>
      <c r="H1" s="515"/>
    </row>
    <row r="2" spans="1:8" ht="22.5" customHeight="1">
      <c r="A2" s="99" t="s">
        <v>303</v>
      </c>
      <c r="B2" s="91"/>
      <c r="C2" s="99"/>
      <c r="D2" s="100"/>
      <c r="E2" s="100"/>
      <c r="F2" s="83"/>
    </row>
    <row r="3" spans="1:8" ht="51.75" customHeight="1">
      <c r="A3" s="252" t="s">
        <v>0</v>
      </c>
      <c r="B3" s="253" t="s">
        <v>1</v>
      </c>
      <c r="C3" s="254" t="s">
        <v>2</v>
      </c>
      <c r="D3" s="254" t="s">
        <v>3</v>
      </c>
      <c r="E3" s="254" t="s">
        <v>4</v>
      </c>
      <c r="F3" s="251" t="s">
        <v>312</v>
      </c>
      <c r="G3" s="251" t="s">
        <v>313</v>
      </c>
      <c r="H3" s="251" t="s">
        <v>314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12">
        <v>6</v>
      </c>
      <c r="G4" s="212">
        <v>7</v>
      </c>
      <c r="H4" s="212">
        <v>8</v>
      </c>
    </row>
    <row r="5" spans="1:8" ht="15.75" hidden="1" customHeight="1">
      <c r="A5" s="7"/>
      <c r="B5" s="8"/>
      <c r="C5" s="8"/>
      <c r="D5" s="8"/>
      <c r="E5" s="8"/>
      <c r="F5" s="83"/>
    </row>
    <row r="6" spans="1:8" ht="15.75">
      <c r="A6" s="94">
        <v>10</v>
      </c>
      <c r="B6" s="95"/>
      <c r="C6" s="96"/>
      <c r="D6" s="97" t="s">
        <v>5</v>
      </c>
      <c r="E6" s="98">
        <f>SUM(E8:E14)</f>
        <v>319591.24</v>
      </c>
      <c r="F6" s="98">
        <f>SUM(F8:F14)</f>
        <v>0.01</v>
      </c>
      <c r="G6" s="98">
        <f>SUM(G8:G14)</f>
        <v>0.01</v>
      </c>
      <c r="H6" s="98">
        <f>SUM(H8:H14)</f>
        <v>319591.24000000005</v>
      </c>
    </row>
    <row r="7" spans="1:8" ht="15.75">
      <c r="A7" s="9"/>
      <c r="B7" s="10">
        <v>1095</v>
      </c>
      <c r="C7" s="11"/>
      <c r="D7" s="12" t="s">
        <v>8</v>
      </c>
      <c r="E7" s="13">
        <f>SUM(E8:E14)</f>
        <v>319591.24</v>
      </c>
      <c r="F7" s="13">
        <f>SUM(F8:F14)</f>
        <v>0.01</v>
      </c>
      <c r="G7" s="13">
        <f>SUM(G8:G14)</f>
        <v>0.01</v>
      </c>
      <c r="H7" s="13">
        <f>SUM(H8:H14)</f>
        <v>319591.24000000005</v>
      </c>
    </row>
    <row r="8" spans="1:8" ht="15.75">
      <c r="A8" s="9"/>
      <c r="B8" s="10"/>
      <c r="C8" s="11">
        <v>4110</v>
      </c>
      <c r="D8" s="12" t="s">
        <v>99</v>
      </c>
      <c r="E8" s="13">
        <f>339.33+397.45</f>
        <v>736.78</v>
      </c>
      <c r="F8" s="13"/>
      <c r="G8" s="13"/>
      <c r="H8" s="13">
        <f>E8+F8-G8</f>
        <v>736.78</v>
      </c>
    </row>
    <row r="9" spans="1:8" ht="15.75">
      <c r="A9" s="9"/>
      <c r="B9" s="10"/>
      <c r="C9" s="11">
        <v>4120</v>
      </c>
      <c r="D9" s="12" t="s">
        <v>100</v>
      </c>
      <c r="E9" s="13">
        <f>49.11+57.52</f>
        <v>106.63</v>
      </c>
      <c r="F9" s="13"/>
      <c r="G9" s="13"/>
      <c r="H9" s="13">
        <f t="shared" ref="H9:H14" si="0">E9+F9-G9</f>
        <v>106.63</v>
      </c>
    </row>
    <row r="10" spans="1:8" ht="15.75">
      <c r="A10" s="9"/>
      <c r="B10" s="10"/>
      <c r="C10" s="11">
        <v>4170</v>
      </c>
      <c r="D10" s="12" t="s">
        <v>101</v>
      </c>
      <c r="E10" s="13">
        <f>2004.32+2347.59</f>
        <v>4351.91</v>
      </c>
      <c r="F10" s="13"/>
      <c r="G10" s="13">
        <v>0.01</v>
      </c>
      <c r="H10" s="13">
        <f t="shared" si="0"/>
        <v>4351.8999999999996</v>
      </c>
    </row>
    <row r="11" spans="1:8" ht="15.75">
      <c r="A11" s="9"/>
      <c r="B11" s="10"/>
      <c r="C11" s="11">
        <v>4210</v>
      </c>
      <c r="D11" s="12" t="s">
        <v>102</v>
      </c>
      <c r="E11" s="13">
        <f>18.2+17.5</f>
        <v>35.700000000000003</v>
      </c>
      <c r="F11" s="13"/>
      <c r="G11" s="13"/>
      <c r="H11" s="13">
        <f t="shared" si="0"/>
        <v>35.700000000000003</v>
      </c>
    </row>
    <row r="12" spans="1:8" ht="15.75">
      <c r="A12" s="9"/>
      <c r="B12" s="10"/>
      <c r="C12" s="11">
        <v>4300</v>
      </c>
      <c r="D12" s="12" t="s">
        <v>93</v>
      </c>
      <c r="E12" s="13">
        <f>509.6+460.6</f>
        <v>970.2</v>
      </c>
      <c r="F12" s="13"/>
      <c r="G12" s="13"/>
      <c r="H12" s="13">
        <f t="shared" si="0"/>
        <v>970.2</v>
      </c>
    </row>
    <row r="13" spans="1:8" ht="15.75">
      <c r="A13" s="9"/>
      <c r="B13" s="10"/>
      <c r="C13" s="11">
        <v>4430</v>
      </c>
      <c r="D13" s="12" t="s">
        <v>95</v>
      </c>
      <c r="E13" s="13">
        <f>147531.46+165793.28</f>
        <v>313324.74</v>
      </c>
      <c r="F13" s="13">
        <v>0.01</v>
      </c>
      <c r="G13" s="13"/>
      <c r="H13" s="13">
        <f t="shared" si="0"/>
        <v>313324.75</v>
      </c>
    </row>
    <row r="14" spans="1:8" ht="15.75">
      <c r="A14" s="9"/>
      <c r="B14" s="10"/>
      <c r="C14" s="11">
        <v>4710</v>
      </c>
      <c r="D14" s="12" t="s">
        <v>103</v>
      </c>
      <c r="E14" s="13">
        <f>30.07+35.21</f>
        <v>65.28</v>
      </c>
      <c r="F14" s="13"/>
      <c r="G14" s="13"/>
      <c r="H14" s="13">
        <f t="shared" si="0"/>
        <v>65.28</v>
      </c>
    </row>
    <row r="15" spans="1:8" ht="15.75">
      <c r="A15" s="9">
        <v>750</v>
      </c>
      <c r="B15" s="10"/>
      <c r="C15" s="11"/>
      <c r="D15" s="12" t="s">
        <v>28</v>
      </c>
      <c r="E15" s="13">
        <f>E16</f>
        <v>462554</v>
      </c>
      <c r="F15" s="13">
        <f>F16</f>
        <v>6000</v>
      </c>
      <c r="G15" s="13">
        <f>G16</f>
        <v>0</v>
      </c>
      <c r="H15" s="13">
        <f>H16</f>
        <v>468554</v>
      </c>
    </row>
    <row r="16" spans="1:8" ht="15.75">
      <c r="A16" s="9"/>
      <c r="B16" s="10">
        <v>75011</v>
      </c>
      <c r="C16" s="11"/>
      <c r="D16" s="12" t="s">
        <v>29</v>
      </c>
      <c r="E16" s="13">
        <f>SUM(E17:E19)</f>
        <v>462554</v>
      </c>
      <c r="F16" s="13">
        <f>SUM(F17:F19)</f>
        <v>6000</v>
      </c>
      <c r="G16" s="13">
        <f>SUM(G17:G19)</f>
        <v>0</v>
      </c>
      <c r="H16" s="13">
        <f>SUM(H17:H19)</f>
        <v>468554</v>
      </c>
    </row>
    <row r="17" spans="1:8" ht="15.75">
      <c r="A17" s="9"/>
      <c r="B17" s="10"/>
      <c r="C17" s="11">
        <v>4010</v>
      </c>
      <c r="D17" s="12" t="s">
        <v>116</v>
      </c>
      <c r="E17" s="13">
        <f>327818+18734+4813+35606</f>
        <v>386971</v>
      </c>
      <c r="F17" s="13">
        <v>5026</v>
      </c>
      <c r="G17" s="13"/>
      <c r="H17" s="13">
        <f>E17+F17-G17</f>
        <v>391997</v>
      </c>
    </row>
    <row r="18" spans="1:8" ht="15.75">
      <c r="A18" s="9"/>
      <c r="B18" s="10"/>
      <c r="C18" s="11">
        <v>4110</v>
      </c>
      <c r="D18" s="12" t="s">
        <v>99</v>
      </c>
      <c r="E18" s="13">
        <f>56057+3203+815+6028</f>
        <v>66103</v>
      </c>
      <c r="F18" s="13">
        <v>851</v>
      </c>
      <c r="G18" s="13"/>
      <c r="H18" s="13">
        <f>E18+F18-G18</f>
        <v>66954</v>
      </c>
    </row>
    <row r="19" spans="1:8" ht="15.75">
      <c r="A19" s="9"/>
      <c r="B19" s="10"/>
      <c r="C19" s="11">
        <v>4120</v>
      </c>
      <c r="D19" s="12" t="s">
        <v>100</v>
      </c>
      <c r="E19" s="13">
        <f>8031+459+118+872</f>
        <v>9480</v>
      </c>
      <c r="F19" s="13">
        <v>123</v>
      </c>
      <c r="G19" s="13"/>
      <c r="H19" s="13">
        <f>E19+F19-G19</f>
        <v>9603</v>
      </c>
    </row>
    <row r="20" spans="1:8" ht="31.5">
      <c r="A20" s="9">
        <v>751</v>
      </c>
      <c r="B20" s="10"/>
      <c r="C20" s="11"/>
      <c r="D20" s="12" t="s">
        <v>32</v>
      </c>
      <c r="E20" s="13">
        <f>E21+E25+E33</f>
        <v>446581</v>
      </c>
      <c r="F20" s="13">
        <f>F21+F25+F33</f>
        <v>0</v>
      </c>
      <c r="G20" s="13">
        <f>G21+G25+G33</f>
        <v>0</v>
      </c>
      <c r="H20" s="13">
        <f>H21+H25+H33</f>
        <v>446581</v>
      </c>
    </row>
    <row r="21" spans="1:8" ht="14.25" customHeight="1">
      <c r="A21" s="9"/>
      <c r="B21" s="10">
        <v>75101</v>
      </c>
      <c r="C21" s="11"/>
      <c r="D21" s="12" t="s">
        <v>33</v>
      </c>
      <c r="E21" s="13">
        <f>SUM(E22:E24)</f>
        <v>5849</v>
      </c>
      <c r="F21" s="13">
        <f>SUM(F22:F24)</f>
        <v>0</v>
      </c>
      <c r="G21" s="13">
        <f>SUM(G22:G24)</f>
        <v>0</v>
      </c>
      <c r="H21" s="13">
        <f>SUM(H22:H24)</f>
        <v>5849</v>
      </c>
    </row>
    <row r="22" spans="1:8" ht="15.75">
      <c r="A22" s="9"/>
      <c r="B22" s="10"/>
      <c r="C22" s="11">
        <v>4010</v>
      </c>
      <c r="D22" s="12" t="s">
        <v>116</v>
      </c>
      <c r="E22" s="13">
        <v>4892</v>
      </c>
      <c r="F22" s="13"/>
      <c r="G22" s="13"/>
      <c r="H22" s="13">
        <v>4892</v>
      </c>
    </row>
    <row r="23" spans="1:8" ht="15.75">
      <c r="A23" s="9"/>
      <c r="B23" s="10"/>
      <c r="C23" s="11">
        <v>4110</v>
      </c>
      <c r="D23" s="12" t="s">
        <v>99</v>
      </c>
      <c r="E23" s="13">
        <v>837</v>
      </c>
      <c r="F23" s="13"/>
      <c r="G23" s="13"/>
      <c r="H23" s="13">
        <v>837</v>
      </c>
    </row>
    <row r="24" spans="1:8" ht="15.75">
      <c r="A24" s="9"/>
      <c r="B24" s="10"/>
      <c r="C24" s="11">
        <v>4120</v>
      </c>
      <c r="D24" s="12" t="s">
        <v>100</v>
      </c>
      <c r="E24" s="13">
        <v>120</v>
      </c>
      <c r="F24" s="13"/>
      <c r="G24" s="13"/>
      <c r="H24" s="13">
        <v>120</v>
      </c>
    </row>
    <row r="25" spans="1:8" ht="47.25">
      <c r="A25" s="68"/>
      <c r="B25" s="69">
        <v>75109</v>
      </c>
      <c r="C25" s="70"/>
      <c r="D25" s="71" t="s">
        <v>344</v>
      </c>
      <c r="E25" s="72">
        <f>SUM(E26:E32)</f>
        <v>316703</v>
      </c>
      <c r="F25" s="72">
        <f>SUM(F26:F32)</f>
        <v>0</v>
      </c>
      <c r="G25" s="72">
        <f>SUM(G26:G32)</f>
        <v>0</v>
      </c>
      <c r="H25" s="72">
        <f>SUM(H26:H32)</f>
        <v>316703</v>
      </c>
    </row>
    <row r="26" spans="1:8" ht="15.75">
      <c r="A26" s="68"/>
      <c r="B26" s="69"/>
      <c r="C26" s="70">
        <v>3030</v>
      </c>
      <c r="D26" s="12" t="s">
        <v>118</v>
      </c>
      <c r="E26" s="72">
        <f>121000+64420+2660</f>
        <v>188080</v>
      </c>
      <c r="F26" s="72"/>
      <c r="G26" s="72"/>
      <c r="H26" s="13">
        <f t="shared" ref="H26:H32" si="1">E26+F26-G26</f>
        <v>188080</v>
      </c>
    </row>
    <row r="27" spans="1:8" ht="15.75">
      <c r="A27" s="9"/>
      <c r="B27" s="10"/>
      <c r="C27" s="11">
        <v>4110</v>
      </c>
      <c r="D27" s="12" t="s">
        <v>99</v>
      </c>
      <c r="E27" s="13">
        <f>11301-6377+3513-946.02</f>
        <v>7490.98</v>
      </c>
      <c r="F27" s="13"/>
      <c r="G27" s="13"/>
      <c r="H27" s="13">
        <f t="shared" si="1"/>
        <v>7490.98</v>
      </c>
    </row>
    <row r="28" spans="1:8" ht="15.75">
      <c r="A28" s="9"/>
      <c r="B28" s="10"/>
      <c r="C28" s="11">
        <v>4120</v>
      </c>
      <c r="D28" s="12" t="s">
        <v>100</v>
      </c>
      <c r="E28" s="13">
        <f>1619-914+509-284.41</f>
        <v>929.58999999999992</v>
      </c>
      <c r="F28" s="13"/>
      <c r="G28" s="13"/>
      <c r="H28" s="13">
        <f t="shared" si="1"/>
        <v>929.58999999999992</v>
      </c>
    </row>
    <row r="29" spans="1:8" ht="15.75">
      <c r="A29" s="9"/>
      <c r="B29" s="10"/>
      <c r="C29" s="11">
        <v>4170</v>
      </c>
      <c r="D29" s="12" t="s">
        <v>101</v>
      </c>
      <c r="E29" s="13">
        <f>66089-37296+20752+8201.63</f>
        <v>57746.63</v>
      </c>
      <c r="F29" s="13"/>
      <c r="G29" s="13"/>
      <c r="H29" s="13">
        <f t="shared" si="1"/>
        <v>57746.63</v>
      </c>
    </row>
    <row r="30" spans="1:8" ht="15.75">
      <c r="A30" s="9"/>
      <c r="B30" s="10"/>
      <c r="C30" s="11">
        <v>4210</v>
      </c>
      <c r="D30" s="12" t="s">
        <v>102</v>
      </c>
      <c r="E30" s="13">
        <f>5000+507.48</f>
        <v>5507.48</v>
      </c>
      <c r="F30" s="13"/>
      <c r="G30" s="13"/>
      <c r="H30" s="13">
        <f t="shared" si="1"/>
        <v>5507.48</v>
      </c>
    </row>
    <row r="31" spans="1:8" ht="15.75">
      <c r="A31" s="9"/>
      <c r="B31" s="10"/>
      <c r="C31" s="11">
        <v>4300</v>
      </c>
      <c r="D31" s="12" t="s">
        <v>93</v>
      </c>
      <c r="E31" s="13">
        <f>5000+2860+45146+11287-609-6735.68</f>
        <v>56948.32</v>
      </c>
      <c r="F31" s="13"/>
      <c r="G31" s="13"/>
      <c r="H31" s="13">
        <f t="shared" si="1"/>
        <v>56948.32</v>
      </c>
    </row>
    <row r="32" spans="1:8" ht="15.75">
      <c r="A32" s="9"/>
      <c r="B32" s="10"/>
      <c r="C32" s="11">
        <v>4410</v>
      </c>
      <c r="D32" s="12" t="s">
        <v>125</v>
      </c>
      <c r="E32" s="13">
        <f>2251+609-2860</f>
        <v>0</v>
      </c>
      <c r="F32" s="13"/>
      <c r="G32" s="13"/>
      <c r="H32" s="13">
        <f t="shared" si="1"/>
        <v>0</v>
      </c>
    </row>
    <row r="33" spans="1:10" ht="15.75">
      <c r="A33" s="68"/>
      <c r="B33" s="69">
        <v>75113</v>
      </c>
      <c r="C33" s="70"/>
      <c r="D33" s="71" t="s">
        <v>393</v>
      </c>
      <c r="E33" s="72">
        <f>SUM(E34:E40)</f>
        <v>124029</v>
      </c>
      <c r="F33" s="72">
        <f>SUM(F34:F40)</f>
        <v>0</v>
      </c>
      <c r="G33" s="72">
        <f>SUM(G34:G40)</f>
        <v>0</v>
      </c>
      <c r="H33" s="72">
        <f>SUM(H34:H40)</f>
        <v>124029</v>
      </c>
    </row>
    <row r="34" spans="1:10" ht="15.75">
      <c r="A34" s="68"/>
      <c r="B34" s="69"/>
      <c r="C34" s="70">
        <v>3030</v>
      </c>
      <c r="D34" s="12" t="s">
        <v>118</v>
      </c>
      <c r="E34" s="72">
        <v>77200</v>
      </c>
      <c r="F34" s="72"/>
      <c r="G34" s="72"/>
      <c r="H34" s="13">
        <f t="shared" ref="H34:H40" si="2">E34+F34-G34</f>
        <v>77200</v>
      </c>
    </row>
    <row r="35" spans="1:10" ht="15.75">
      <c r="A35" s="9"/>
      <c r="B35" s="10"/>
      <c r="C35" s="11">
        <v>4110</v>
      </c>
      <c r="D35" s="12" t="s">
        <v>99</v>
      </c>
      <c r="E35" s="13">
        <f>5673-217.14</f>
        <v>5455.86</v>
      </c>
      <c r="F35" s="13"/>
      <c r="G35" s="13"/>
      <c r="H35" s="13">
        <f t="shared" si="2"/>
        <v>5455.86</v>
      </c>
    </row>
    <row r="36" spans="1:10" ht="15.75">
      <c r="A36" s="9"/>
      <c r="B36" s="10"/>
      <c r="C36" s="11">
        <v>4120</v>
      </c>
      <c r="D36" s="12" t="s">
        <v>100</v>
      </c>
      <c r="E36" s="13">
        <f>821-178.48</f>
        <v>642.52</v>
      </c>
      <c r="F36" s="13"/>
      <c r="G36" s="13"/>
      <c r="H36" s="13">
        <f t="shared" si="2"/>
        <v>642.52</v>
      </c>
    </row>
    <row r="37" spans="1:10" ht="15.75">
      <c r="A37" s="9"/>
      <c r="B37" s="10"/>
      <c r="C37" s="11">
        <v>4170</v>
      </c>
      <c r="D37" s="12" t="s">
        <v>101</v>
      </c>
      <c r="E37" s="13">
        <f>33506+4569.53</f>
        <v>38075.53</v>
      </c>
      <c r="F37" s="13"/>
      <c r="G37" s="13"/>
      <c r="H37" s="13">
        <f t="shared" si="2"/>
        <v>38075.53</v>
      </c>
    </row>
    <row r="38" spans="1:10" ht="15.75">
      <c r="A38" s="9"/>
      <c r="B38" s="10"/>
      <c r="C38" s="11">
        <v>4210</v>
      </c>
      <c r="D38" s="12" t="s">
        <v>102</v>
      </c>
      <c r="E38" s="13">
        <f>3829-1187.41</f>
        <v>2641.59</v>
      </c>
      <c r="F38" s="13"/>
      <c r="G38" s="13"/>
      <c r="H38" s="13">
        <f t="shared" si="2"/>
        <v>2641.59</v>
      </c>
    </row>
    <row r="39" spans="1:10" ht="15.75">
      <c r="A39" s="9"/>
      <c r="B39" s="10"/>
      <c r="C39" s="11">
        <v>4300</v>
      </c>
      <c r="D39" s="12" t="s">
        <v>93</v>
      </c>
      <c r="E39" s="13">
        <f>3000-3000</f>
        <v>0</v>
      </c>
      <c r="F39" s="13"/>
      <c r="G39" s="13"/>
      <c r="H39" s="13">
        <f t="shared" si="2"/>
        <v>0</v>
      </c>
    </row>
    <row r="40" spans="1:10" ht="15.75">
      <c r="A40" s="9"/>
      <c r="B40" s="10"/>
      <c r="C40" s="11">
        <v>4710</v>
      </c>
      <c r="D40" s="12" t="s">
        <v>103</v>
      </c>
      <c r="E40" s="13">
        <v>13.5</v>
      </c>
      <c r="F40" s="13"/>
      <c r="G40" s="13"/>
      <c r="H40" s="13">
        <f t="shared" si="2"/>
        <v>13.5</v>
      </c>
    </row>
    <row r="41" spans="1:10" ht="15.75">
      <c r="A41" s="68">
        <v>801</v>
      </c>
      <c r="B41" s="69"/>
      <c r="C41" s="70"/>
      <c r="D41" s="71" t="s">
        <v>58</v>
      </c>
      <c r="E41" s="72">
        <f>E42</f>
        <v>578675.94999999995</v>
      </c>
      <c r="F41" s="72">
        <f>F42</f>
        <v>54.45</v>
      </c>
      <c r="G41" s="72">
        <f>G42</f>
        <v>54.45</v>
      </c>
      <c r="H41" s="72">
        <f>H42</f>
        <v>578675.94999999995</v>
      </c>
    </row>
    <row r="42" spans="1:10" ht="30.75" customHeight="1">
      <c r="A42" s="9"/>
      <c r="B42" s="10">
        <v>80153</v>
      </c>
      <c r="C42" s="11"/>
      <c r="D42" s="12" t="s">
        <v>329</v>
      </c>
      <c r="E42" s="13">
        <f>SUM(E43:E47)</f>
        <v>578675.94999999995</v>
      </c>
      <c r="F42" s="13">
        <f>SUM(F43:F47)</f>
        <v>54.45</v>
      </c>
      <c r="G42" s="13">
        <f>SUM(G43:G47)</f>
        <v>54.45</v>
      </c>
      <c r="H42" s="13">
        <f>SUM(H43:H47)</f>
        <v>578675.94999999995</v>
      </c>
    </row>
    <row r="43" spans="1:10" ht="30.75" customHeight="1">
      <c r="A43" s="9"/>
      <c r="B43" s="10"/>
      <c r="C43" s="11">
        <v>2820</v>
      </c>
      <c r="D43" s="12" t="s">
        <v>476</v>
      </c>
      <c r="E43" s="13">
        <v>24120.06</v>
      </c>
      <c r="F43" s="13"/>
      <c r="G43" s="13">
        <v>54.45</v>
      </c>
      <c r="H43" s="13">
        <f>E43+F43-G43</f>
        <v>24065.61</v>
      </c>
    </row>
    <row r="44" spans="1:10" ht="15.75">
      <c r="A44" s="9"/>
      <c r="B44" s="10"/>
      <c r="C44" s="11">
        <v>4110</v>
      </c>
      <c r="D44" s="12" t="s">
        <v>99</v>
      </c>
      <c r="E44" s="13">
        <f>733.22+76.67</f>
        <v>809.89</v>
      </c>
      <c r="F44" s="13">
        <v>2.64</v>
      </c>
      <c r="G44" s="13"/>
      <c r="H44" s="13">
        <f>E44+F44-G44</f>
        <v>812.53</v>
      </c>
    </row>
    <row r="45" spans="1:10" ht="15.75">
      <c r="A45" s="9"/>
      <c r="B45" s="10"/>
      <c r="C45" s="11">
        <v>4120</v>
      </c>
      <c r="D45" s="12" t="s">
        <v>100</v>
      </c>
      <c r="E45" s="13">
        <f>106.11+11.1</f>
        <v>117.21</v>
      </c>
      <c r="F45" s="13">
        <v>0.37</v>
      </c>
      <c r="G45" s="13"/>
      <c r="H45" s="13">
        <f>E45+F45-G45</f>
        <v>117.58</v>
      </c>
    </row>
    <row r="46" spans="1:10" ht="15.75">
      <c r="A46" s="9"/>
      <c r="B46" s="10"/>
      <c r="C46" s="11">
        <v>4170</v>
      </c>
      <c r="D46" s="12" t="s">
        <v>101</v>
      </c>
      <c r="E46" s="13">
        <f>4330.84+452.88</f>
        <v>4783.72</v>
      </c>
      <c r="F46" s="13">
        <v>15.58</v>
      </c>
      <c r="G46" s="13"/>
      <c r="H46" s="13">
        <f>E46+F46-G46</f>
        <v>4799.3</v>
      </c>
      <c r="J46" s="471"/>
    </row>
    <row r="47" spans="1:10" ht="15.75">
      <c r="A47" s="9"/>
      <c r="B47" s="10"/>
      <c r="C47" s="11">
        <v>4240</v>
      </c>
      <c r="D47" s="71" t="s">
        <v>145</v>
      </c>
      <c r="E47" s="13">
        <f>517019.62+47564.82-15739.37</f>
        <v>548845.06999999995</v>
      </c>
      <c r="F47" s="13">
        <v>35.86</v>
      </c>
      <c r="G47" s="13"/>
      <c r="H47" s="13">
        <f>E47+F47-G47</f>
        <v>548880.92999999993</v>
      </c>
    </row>
    <row r="48" spans="1:10" ht="15.75">
      <c r="A48" s="9">
        <v>852</v>
      </c>
      <c r="B48" s="10"/>
      <c r="C48" s="11"/>
      <c r="D48" s="12" t="s">
        <v>67</v>
      </c>
      <c r="E48" s="13">
        <f>E56+E49</f>
        <v>221642.92</v>
      </c>
      <c r="F48" s="13">
        <f t="shared" ref="F48:H48" si="3">F56+F49</f>
        <v>120806.09</v>
      </c>
      <c r="G48" s="13">
        <f t="shared" si="3"/>
        <v>0</v>
      </c>
      <c r="H48" s="13">
        <f t="shared" si="3"/>
        <v>342449.01</v>
      </c>
    </row>
    <row r="49" spans="1:10" ht="15.75">
      <c r="A49" s="9"/>
      <c r="B49" s="10">
        <v>85215</v>
      </c>
      <c r="C49" s="11"/>
      <c r="D49" s="12" t="s">
        <v>71</v>
      </c>
      <c r="E49" s="13">
        <f>SUM(E50:E55)</f>
        <v>120201</v>
      </c>
      <c r="F49" s="13">
        <f t="shared" ref="F49:H49" si="4">SUM(F50:F55)</f>
        <v>120806.09</v>
      </c>
      <c r="G49" s="13">
        <f t="shared" si="4"/>
        <v>0</v>
      </c>
      <c r="H49" s="13">
        <f t="shared" si="4"/>
        <v>241007.09</v>
      </c>
    </row>
    <row r="50" spans="1:10" ht="15.75">
      <c r="A50" s="9"/>
      <c r="B50" s="10"/>
      <c r="C50" s="11">
        <v>3110</v>
      </c>
      <c r="D50" s="12" t="s">
        <v>161</v>
      </c>
      <c r="E50" s="13">
        <f>116700</f>
        <v>116700</v>
      </c>
      <c r="F50" s="13">
        <v>117287.47</v>
      </c>
      <c r="G50" s="13"/>
      <c r="H50" s="470">
        <f>E50+F50-G50</f>
        <v>233987.47</v>
      </c>
    </row>
    <row r="51" spans="1:10" ht="15.75">
      <c r="A51" s="9"/>
      <c r="B51" s="10"/>
      <c r="C51" s="11">
        <v>4010</v>
      </c>
      <c r="D51" s="12" t="s">
        <v>116</v>
      </c>
      <c r="E51" s="13">
        <f>2919.7</f>
        <v>2919.7</v>
      </c>
      <c r="F51" s="13">
        <v>2080.3000000000002</v>
      </c>
      <c r="G51" s="13"/>
      <c r="H51" s="470">
        <f t="shared" ref="H51:H55" si="5">E51+F51-G51</f>
        <v>5000</v>
      </c>
    </row>
    <row r="52" spans="1:10" ht="15.75">
      <c r="A52" s="9"/>
      <c r="B52" s="10"/>
      <c r="C52" s="11">
        <v>4110</v>
      </c>
      <c r="D52" s="12" t="s">
        <v>99</v>
      </c>
      <c r="E52" s="13">
        <f>509.78</f>
        <v>509.78</v>
      </c>
      <c r="F52" s="13">
        <v>351.22</v>
      </c>
      <c r="G52" s="13"/>
      <c r="H52" s="470">
        <f t="shared" si="5"/>
        <v>861</v>
      </c>
    </row>
    <row r="53" spans="1:10" ht="15.75">
      <c r="A53" s="9"/>
      <c r="B53" s="10"/>
      <c r="C53" s="11">
        <v>4120</v>
      </c>
      <c r="D53" s="12" t="s">
        <v>100</v>
      </c>
      <c r="E53" s="13">
        <f>71.52</f>
        <v>71.52</v>
      </c>
      <c r="F53" s="13">
        <v>50.98</v>
      </c>
      <c r="G53" s="13"/>
      <c r="H53" s="470">
        <f t="shared" si="5"/>
        <v>122.5</v>
      </c>
    </row>
    <row r="54" spans="1:10" ht="15.75">
      <c r="A54" s="9"/>
      <c r="B54" s="10"/>
      <c r="C54" s="11">
        <v>4210</v>
      </c>
      <c r="D54" s="12" t="s">
        <v>102</v>
      </c>
      <c r="E54" s="13"/>
      <c r="F54" s="13">
        <v>56.72</v>
      </c>
      <c r="G54" s="13"/>
      <c r="H54" s="470">
        <f t="shared" si="5"/>
        <v>56.72</v>
      </c>
    </row>
    <row r="55" spans="1:10" ht="15.75">
      <c r="A55" s="9"/>
      <c r="B55" s="10"/>
      <c r="C55" s="11">
        <v>4300</v>
      </c>
      <c r="D55" s="12" t="s">
        <v>93</v>
      </c>
      <c r="E55" s="13"/>
      <c r="F55" s="13">
        <v>979.4</v>
      </c>
      <c r="G55" s="13"/>
      <c r="H55" s="470">
        <f t="shared" si="5"/>
        <v>979.4</v>
      </c>
    </row>
    <row r="56" spans="1:10" ht="15.75">
      <c r="A56" s="44"/>
      <c r="B56" s="10">
        <v>85295</v>
      </c>
      <c r="C56" s="11"/>
      <c r="D56" s="12" t="s">
        <v>8</v>
      </c>
      <c r="E56" s="13">
        <f>SUM(E57:E59)</f>
        <v>101441.92000000001</v>
      </c>
      <c r="F56" s="13">
        <f>SUM(F57:F59)</f>
        <v>0</v>
      </c>
      <c r="G56" s="13">
        <f>SUM(G57:G59)</f>
        <v>0</v>
      </c>
      <c r="H56" s="13">
        <f>SUM(H57:H59)</f>
        <v>101441.92000000001</v>
      </c>
    </row>
    <row r="57" spans="1:10" ht="15.75">
      <c r="A57" s="44"/>
      <c r="B57" s="10"/>
      <c r="C57" s="11">
        <v>3110</v>
      </c>
      <c r="D57" s="12" t="s">
        <v>161</v>
      </c>
      <c r="E57" s="13">
        <f>64464.4+30682.58</f>
        <v>95146.98000000001</v>
      </c>
      <c r="F57" s="13"/>
      <c r="G57" s="13"/>
      <c r="H57" s="13">
        <f>E57+F57-G57</f>
        <v>95146.98000000001</v>
      </c>
    </row>
    <row r="58" spans="1:10" ht="15.75">
      <c r="A58" s="9"/>
      <c r="B58" s="10"/>
      <c r="C58" s="11">
        <v>4210</v>
      </c>
      <c r="D58" s="12" t="s">
        <v>161</v>
      </c>
      <c r="E58" s="13">
        <v>4392</v>
      </c>
      <c r="F58" s="13"/>
      <c r="G58" s="13"/>
      <c r="H58" s="13">
        <f>E58+F58-G58</f>
        <v>4392</v>
      </c>
    </row>
    <row r="59" spans="1:10" ht="15.75">
      <c r="A59" s="9"/>
      <c r="B59" s="10"/>
      <c r="C59" s="11">
        <v>4300</v>
      </c>
      <c r="D59" s="12" t="s">
        <v>93</v>
      </c>
      <c r="E59" s="13">
        <f>1289.29+613.65</f>
        <v>1902.94</v>
      </c>
      <c r="F59" s="13"/>
      <c r="G59" s="13"/>
      <c r="H59" s="13">
        <f>E59+F59-G59</f>
        <v>1902.94</v>
      </c>
    </row>
    <row r="60" spans="1:10" ht="15.75">
      <c r="A60" s="9">
        <v>855</v>
      </c>
      <c r="B60" s="10"/>
      <c r="C60" s="11"/>
      <c r="D60" s="12" t="s">
        <v>80</v>
      </c>
      <c r="E60" s="13">
        <f>+E61+E80+E77</f>
        <v>9563566</v>
      </c>
      <c r="F60" s="13">
        <f>+F61+F80+F77</f>
        <v>721295</v>
      </c>
      <c r="G60" s="13">
        <f>+G61+G80+G77</f>
        <v>2000</v>
      </c>
      <c r="H60" s="13">
        <f>+H61+H80+H77</f>
        <v>10282861</v>
      </c>
    </row>
    <row r="61" spans="1:10" ht="30.75" customHeight="1">
      <c r="A61" s="9"/>
      <c r="B61" s="10">
        <v>85502</v>
      </c>
      <c r="C61" s="11"/>
      <c r="D61" s="90" t="s">
        <v>81</v>
      </c>
      <c r="E61" s="13">
        <f>SUM(E62:E76)</f>
        <v>9469565</v>
      </c>
      <c r="F61" s="13">
        <f t="shared" ref="F61:G61" si="6">SUM(F62:F76)</f>
        <v>718995</v>
      </c>
      <c r="G61" s="13">
        <f t="shared" si="6"/>
        <v>2000</v>
      </c>
      <c r="H61" s="13">
        <f>SUM(H62:H76)</f>
        <v>10186560</v>
      </c>
      <c r="J61" s="471"/>
    </row>
    <row r="62" spans="1:10" ht="15.75">
      <c r="A62" s="9"/>
      <c r="B62" s="10"/>
      <c r="C62" s="11">
        <v>3020</v>
      </c>
      <c r="D62" s="12" t="s">
        <v>119</v>
      </c>
      <c r="E62" s="13">
        <v>1000</v>
      </c>
      <c r="F62" s="13">
        <v>542593</v>
      </c>
      <c r="G62" s="13"/>
      <c r="H62" s="13">
        <f>E62+F62-G62</f>
        <v>543593</v>
      </c>
    </row>
    <row r="63" spans="1:10" ht="15.75">
      <c r="A63" s="9"/>
      <c r="B63" s="10"/>
      <c r="C63" s="11">
        <v>3110</v>
      </c>
      <c r="D63" s="12" t="s">
        <v>161</v>
      </c>
      <c r="E63" s="13">
        <f>5355477.67+2234645+207535+827547</f>
        <v>8625204.6699999999</v>
      </c>
      <c r="F63" s="13">
        <v>23978</v>
      </c>
      <c r="G63" s="13"/>
      <c r="H63" s="13">
        <f>E63+F63-G63</f>
        <v>8649182.6699999999</v>
      </c>
    </row>
    <row r="64" spans="1:10" ht="15.75">
      <c r="A64" s="9"/>
      <c r="B64" s="10"/>
      <c r="C64" s="11">
        <v>4010</v>
      </c>
      <c r="D64" s="12" t="s">
        <v>116</v>
      </c>
      <c r="E64" s="13">
        <f>78048+58952+2340+22483.5</f>
        <v>161823.5</v>
      </c>
      <c r="F64" s="13"/>
      <c r="G64" s="13"/>
      <c r="H64" s="13">
        <f t="shared" ref="H64:H76" si="7">E64+F64-G64</f>
        <v>161823.5</v>
      </c>
    </row>
    <row r="65" spans="1:8" ht="15.75">
      <c r="A65" s="9"/>
      <c r="B65" s="10"/>
      <c r="C65" s="11">
        <v>4040</v>
      </c>
      <c r="D65" s="12" t="s">
        <v>120</v>
      </c>
      <c r="E65" s="13">
        <f>13000-1963-201</f>
        <v>10836</v>
      </c>
      <c r="F65" s="13"/>
      <c r="G65" s="13"/>
      <c r="H65" s="13">
        <f t="shared" si="7"/>
        <v>10836</v>
      </c>
    </row>
    <row r="66" spans="1:8" ht="15.75">
      <c r="A66" s="9"/>
      <c r="B66" s="10"/>
      <c r="C66" s="11">
        <v>4110</v>
      </c>
      <c r="D66" s="12" t="s">
        <v>99</v>
      </c>
      <c r="E66" s="13">
        <f>14048+11952+604402+3893</f>
        <v>634295</v>
      </c>
      <c r="F66" s="13">
        <v>129746</v>
      </c>
      <c r="G66" s="13"/>
      <c r="H66" s="13">
        <f t="shared" si="7"/>
        <v>764041</v>
      </c>
    </row>
    <row r="67" spans="1:8" ht="15.75">
      <c r="A67" s="9"/>
      <c r="B67" s="10"/>
      <c r="C67" s="11">
        <v>4120</v>
      </c>
      <c r="D67" s="12" t="s">
        <v>100</v>
      </c>
      <c r="E67" s="13">
        <f>2346.33+1254+58+551.5</f>
        <v>4209.83</v>
      </c>
      <c r="F67" s="13">
        <v>588</v>
      </c>
      <c r="G67" s="13"/>
      <c r="H67" s="13">
        <f t="shared" si="7"/>
        <v>4797.83</v>
      </c>
    </row>
    <row r="68" spans="1:8" ht="15.75">
      <c r="A68" s="9"/>
      <c r="B68" s="10"/>
      <c r="C68" s="11">
        <v>4210</v>
      </c>
      <c r="D68" s="12" t="s">
        <v>102</v>
      </c>
      <c r="E68" s="13">
        <v>5500</v>
      </c>
      <c r="F68" s="13">
        <v>14090</v>
      </c>
      <c r="G68" s="13"/>
      <c r="H68" s="13">
        <f t="shared" si="7"/>
        <v>19590</v>
      </c>
    </row>
    <row r="69" spans="1:8" ht="15.75">
      <c r="A69" s="9"/>
      <c r="B69" s="10"/>
      <c r="C69" s="11">
        <v>4280</v>
      </c>
      <c r="D69" s="12" t="s">
        <v>123</v>
      </c>
      <c r="E69" s="13">
        <f>300-300</f>
        <v>0</v>
      </c>
      <c r="F69" s="13"/>
      <c r="G69" s="13"/>
      <c r="H69" s="13">
        <f t="shared" si="7"/>
        <v>0</v>
      </c>
    </row>
    <row r="70" spans="1:8" ht="15.75">
      <c r="A70" s="9"/>
      <c r="B70" s="10"/>
      <c r="C70" s="11">
        <v>4300</v>
      </c>
      <c r="D70" s="12" t="s">
        <v>93</v>
      </c>
      <c r="E70" s="13">
        <v>15250</v>
      </c>
      <c r="F70" s="13">
        <v>8000</v>
      </c>
      <c r="G70" s="13"/>
      <c r="H70" s="13">
        <f t="shared" si="7"/>
        <v>23250</v>
      </c>
    </row>
    <row r="71" spans="1:8" ht="15.75">
      <c r="A71" s="9"/>
      <c r="B71" s="10"/>
      <c r="C71" s="11">
        <v>4360</v>
      </c>
      <c r="D71" s="12" t="s">
        <v>124</v>
      </c>
      <c r="E71" s="13">
        <f>6800-4389</f>
        <v>2411</v>
      </c>
      <c r="F71" s="13"/>
      <c r="G71" s="13"/>
      <c r="H71" s="13">
        <f t="shared" si="7"/>
        <v>2411</v>
      </c>
    </row>
    <row r="72" spans="1:8" ht="15.75">
      <c r="A72" s="9"/>
      <c r="B72" s="10"/>
      <c r="C72" s="11">
        <v>4410</v>
      </c>
      <c r="D72" s="12" t="s">
        <v>125</v>
      </c>
      <c r="E72" s="13">
        <f>1500-1500</f>
        <v>0</v>
      </c>
      <c r="F72" s="13"/>
      <c r="G72" s="13"/>
      <c r="H72" s="13">
        <f t="shared" si="7"/>
        <v>0</v>
      </c>
    </row>
    <row r="73" spans="1:8" ht="15.75">
      <c r="A73" s="9"/>
      <c r="B73" s="10"/>
      <c r="C73" s="11">
        <v>4430</v>
      </c>
      <c r="D73" s="12" t="s">
        <v>95</v>
      </c>
      <c r="E73" s="13">
        <f>16000-14800</f>
        <v>1200</v>
      </c>
      <c r="F73" s="13"/>
      <c r="G73" s="13"/>
      <c r="H73" s="13">
        <f t="shared" si="7"/>
        <v>1200</v>
      </c>
    </row>
    <row r="74" spans="1:8" ht="15.75">
      <c r="A74" s="9"/>
      <c r="B74" s="10"/>
      <c r="C74" s="11">
        <v>4440</v>
      </c>
      <c r="D74" s="12" t="s">
        <v>127</v>
      </c>
      <c r="E74" s="13">
        <f>2872+1963</f>
        <v>4835</v>
      </c>
      <c r="F74" s="13"/>
      <c r="G74" s="13"/>
      <c r="H74" s="13">
        <f t="shared" si="7"/>
        <v>4835</v>
      </c>
    </row>
    <row r="75" spans="1:8" ht="31.5">
      <c r="A75" s="9"/>
      <c r="B75" s="10"/>
      <c r="C75" s="11">
        <v>4700</v>
      </c>
      <c r="D75" s="12" t="s">
        <v>128</v>
      </c>
      <c r="E75" s="13">
        <v>2000</v>
      </c>
      <c r="F75" s="13"/>
      <c r="G75" s="13">
        <v>1000</v>
      </c>
      <c r="H75" s="13">
        <f t="shared" si="7"/>
        <v>1000</v>
      </c>
    </row>
    <row r="76" spans="1:8" ht="15.75">
      <c r="A76" s="9"/>
      <c r="B76" s="10"/>
      <c r="C76" s="11">
        <v>4710</v>
      </c>
      <c r="D76" s="12" t="s">
        <v>103</v>
      </c>
      <c r="E76" s="13">
        <f>2000-1000</f>
        <v>1000</v>
      </c>
      <c r="F76" s="13"/>
      <c r="G76" s="13">
        <v>1000</v>
      </c>
      <c r="H76" s="13">
        <f t="shared" si="7"/>
        <v>0</v>
      </c>
    </row>
    <row r="77" spans="1:8" ht="15.75">
      <c r="A77" s="9"/>
      <c r="B77" s="10">
        <v>85503</v>
      </c>
      <c r="C77" s="11"/>
      <c r="D77" s="12" t="s">
        <v>340</v>
      </c>
      <c r="E77" s="13">
        <f>SUM(E78)</f>
        <v>1700</v>
      </c>
      <c r="F77" s="13">
        <f>SUM(F78)</f>
        <v>300</v>
      </c>
      <c r="G77" s="13">
        <f>SUM(G78)</f>
        <v>0</v>
      </c>
      <c r="H77" s="13">
        <f>SUM(H78)</f>
        <v>2000</v>
      </c>
    </row>
    <row r="78" spans="1:8" ht="15.75">
      <c r="A78" s="9"/>
      <c r="B78" s="10"/>
      <c r="C78" s="11">
        <v>4010</v>
      </c>
      <c r="D78" s="12" t="s">
        <v>116</v>
      </c>
      <c r="E78" s="13">
        <f>898+802</f>
        <v>1700</v>
      </c>
      <c r="F78" s="13">
        <v>300</v>
      </c>
      <c r="G78" s="13"/>
      <c r="H78" s="13">
        <f>E78+F78-G78</f>
        <v>2000</v>
      </c>
    </row>
    <row r="79" spans="1:8" ht="15.75">
      <c r="A79" s="9"/>
      <c r="B79" s="10"/>
      <c r="C79" s="11"/>
      <c r="D79" s="12"/>
      <c r="E79" s="13"/>
      <c r="F79" s="13"/>
      <c r="G79" s="13"/>
      <c r="H79" s="13"/>
    </row>
    <row r="80" spans="1:8" ht="30.75" customHeight="1">
      <c r="A80" s="9"/>
      <c r="B80" s="10">
        <v>85513</v>
      </c>
      <c r="C80" s="11"/>
      <c r="D80" s="12" t="s">
        <v>82</v>
      </c>
      <c r="E80" s="13">
        <f>E81</f>
        <v>92301</v>
      </c>
      <c r="F80" s="13">
        <f>F81</f>
        <v>2000</v>
      </c>
      <c r="G80" s="13">
        <f>G81</f>
        <v>0</v>
      </c>
      <c r="H80" s="13">
        <f>H81</f>
        <v>94301</v>
      </c>
    </row>
    <row r="81" spans="1:8" ht="15.75">
      <c r="A81" s="9"/>
      <c r="B81" s="10"/>
      <c r="C81" s="11">
        <v>4130</v>
      </c>
      <c r="D81" s="12" t="s">
        <v>160</v>
      </c>
      <c r="E81" s="13">
        <f>65701+2500+2500+9000+12600</f>
        <v>92301</v>
      </c>
      <c r="F81" s="13">
        <v>2000</v>
      </c>
      <c r="G81" s="13"/>
      <c r="H81" s="13">
        <f>E81+F81-G81</f>
        <v>94301</v>
      </c>
    </row>
    <row r="82" spans="1:8" ht="18" customHeight="1">
      <c r="A82" s="80"/>
      <c r="B82" s="81"/>
      <c r="C82" s="82"/>
      <c r="D82" s="92" t="s">
        <v>91</v>
      </c>
      <c r="E82" s="93">
        <f>+E6+E20+E60+E48+E15+E41</f>
        <v>11592611.109999999</v>
      </c>
      <c r="F82" s="93">
        <f>+F6+F20+F60+F48+F15+F41</f>
        <v>848155.54999999993</v>
      </c>
      <c r="G82" s="93">
        <f>+G6+G20+G60+G48+G15+G41</f>
        <v>2054.46</v>
      </c>
      <c r="H82" s="93">
        <f>+H6+H20+H60+H48+H15+H41</f>
        <v>12438712.199999999</v>
      </c>
    </row>
    <row r="83" spans="1:8" ht="9.75" customHeight="1">
      <c r="A83" s="83"/>
      <c r="B83" s="83"/>
      <c r="C83" s="83"/>
      <c r="D83" s="83"/>
      <c r="E83" s="83"/>
      <c r="F83" s="83"/>
    </row>
    <row r="84" spans="1:8" ht="21" customHeight="1">
      <c r="A84" s="83"/>
      <c r="B84" s="83"/>
      <c r="C84" s="83"/>
      <c r="D84" s="83"/>
      <c r="E84" s="83"/>
      <c r="F84" s="472"/>
    </row>
    <row r="85" spans="1:8" ht="9.75" customHeight="1">
      <c r="A85" s="83"/>
      <c r="B85" s="83"/>
      <c r="C85" s="83"/>
      <c r="D85" s="83"/>
      <c r="E85" s="83"/>
      <c r="F85" s="83"/>
    </row>
    <row r="86" spans="1:8" ht="9.75" customHeight="1">
      <c r="A86" s="83"/>
      <c r="B86" s="83"/>
      <c r="C86" s="83"/>
      <c r="D86" s="83"/>
      <c r="E86" s="83"/>
      <c r="F86" s="83"/>
    </row>
    <row r="87" spans="1:8" ht="9.75" customHeight="1">
      <c r="A87" s="83"/>
      <c r="B87" s="83"/>
      <c r="C87" s="83"/>
      <c r="D87" s="83"/>
      <c r="E87" s="83"/>
      <c r="F87" s="83"/>
    </row>
    <row r="88" spans="1:8" ht="9.75" customHeight="1">
      <c r="A88" s="83"/>
      <c r="B88" s="83"/>
      <c r="C88" s="83"/>
      <c r="D88" s="83"/>
      <c r="E88" s="83"/>
      <c r="F88" s="83"/>
    </row>
    <row r="89" spans="1:8" ht="18.75">
      <c r="A89" s="512" t="s">
        <v>191</v>
      </c>
      <c r="B89" s="513"/>
      <c r="C89" s="513"/>
      <c r="D89" s="513"/>
      <c r="E89" s="513"/>
      <c r="F89" s="101"/>
    </row>
    <row r="90" spans="1:8" ht="15.75">
      <c r="A90" s="94">
        <v>801</v>
      </c>
      <c r="B90" s="95"/>
      <c r="C90" s="96"/>
      <c r="D90" s="97" t="s">
        <v>58</v>
      </c>
      <c r="E90" s="98">
        <f>E93+E96+E91</f>
        <v>905000</v>
      </c>
      <c r="F90" s="98">
        <f>F93+F96+F91</f>
        <v>0</v>
      </c>
      <c r="G90" s="98">
        <f>G93+G96+G91</f>
        <v>0</v>
      </c>
      <c r="H90" s="98">
        <f>H93+H96+H91</f>
        <v>905000</v>
      </c>
    </row>
    <row r="91" spans="1:8" ht="15.75">
      <c r="A91" s="9"/>
      <c r="B91" s="10">
        <v>80103</v>
      </c>
      <c r="C91" s="11"/>
      <c r="D91" s="12" t="s">
        <v>60</v>
      </c>
      <c r="E91" s="13">
        <f>E92</f>
        <v>30000</v>
      </c>
      <c r="F91" s="13">
        <f>F92</f>
        <v>0</v>
      </c>
      <c r="G91" s="13">
        <f>G92</f>
        <v>0</v>
      </c>
      <c r="H91" s="13">
        <f>H92</f>
        <v>30000</v>
      </c>
    </row>
    <row r="92" spans="1:8" ht="31.5">
      <c r="A92" s="9"/>
      <c r="B92" s="10"/>
      <c r="C92" s="11">
        <v>2540</v>
      </c>
      <c r="D92" s="12" t="s">
        <v>142</v>
      </c>
      <c r="E92" s="13">
        <v>30000</v>
      </c>
      <c r="F92" s="13"/>
      <c r="G92" s="13"/>
      <c r="H92" s="13">
        <f>E92+F92-G92</f>
        <v>30000</v>
      </c>
    </row>
    <row r="93" spans="1:8" ht="15.75">
      <c r="A93" s="9"/>
      <c r="B93" s="10">
        <v>80104</v>
      </c>
      <c r="C93" s="11"/>
      <c r="D93" s="12" t="s">
        <v>62</v>
      </c>
      <c r="E93" s="13">
        <f>E94+E95</f>
        <v>850000</v>
      </c>
      <c r="F93" s="13">
        <f>F94+F95</f>
        <v>0</v>
      </c>
      <c r="G93" s="13">
        <f>G94+G95</f>
        <v>0</v>
      </c>
      <c r="H93" s="13">
        <f>H94+H95</f>
        <v>850000</v>
      </c>
    </row>
    <row r="94" spans="1:8" ht="31.5">
      <c r="A94" s="9"/>
      <c r="B94" s="10"/>
      <c r="C94" s="11">
        <v>2540</v>
      </c>
      <c r="D94" s="12" t="s">
        <v>142</v>
      </c>
      <c r="E94" s="13">
        <v>325000</v>
      </c>
      <c r="F94" s="13"/>
      <c r="G94" s="13"/>
      <c r="H94" s="13">
        <v>325000</v>
      </c>
    </row>
    <row r="95" spans="1:8" ht="47.25">
      <c r="A95" s="9"/>
      <c r="B95" s="10"/>
      <c r="C95" s="11">
        <v>2590</v>
      </c>
      <c r="D95" s="12" t="s">
        <v>149</v>
      </c>
      <c r="E95" s="13">
        <v>525000</v>
      </c>
      <c r="F95" s="13"/>
      <c r="G95" s="13"/>
      <c r="H95" s="13">
        <v>525000</v>
      </c>
    </row>
    <row r="96" spans="1:8" ht="15.75">
      <c r="A96" s="9"/>
      <c r="B96" s="10">
        <v>80106</v>
      </c>
      <c r="C96" s="11"/>
      <c r="D96" s="12" t="s">
        <v>66</v>
      </c>
      <c r="E96" s="13">
        <f>E97</f>
        <v>25000</v>
      </c>
      <c r="F96" s="161">
        <f>F97</f>
        <v>0</v>
      </c>
      <c r="G96" s="161">
        <f>G97</f>
        <v>0</v>
      </c>
      <c r="H96" s="261">
        <f>H97</f>
        <v>25000</v>
      </c>
    </row>
    <row r="97" spans="1:8" ht="31.5">
      <c r="A97" s="9"/>
      <c r="B97" s="10"/>
      <c r="C97" s="11">
        <v>2540</v>
      </c>
      <c r="D97" s="12" t="s">
        <v>142</v>
      </c>
      <c r="E97" s="161">
        <v>25000</v>
      </c>
      <c r="F97" s="13"/>
      <c r="G97" s="13"/>
      <c r="H97" s="161">
        <f>E97+F97-G97</f>
        <v>25000</v>
      </c>
    </row>
    <row r="98" spans="1:8" ht="15.75">
      <c r="A98" s="9">
        <v>900</v>
      </c>
      <c r="B98" s="10"/>
      <c r="C98" s="11"/>
      <c r="D98" s="12" t="s">
        <v>84</v>
      </c>
      <c r="E98" s="13">
        <f>E99</f>
        <v>12000</v>
      </c>
      <c r="F98" s="13">
        <f>F99</f>
        <v>0</v>
      </c>
      <c r="G98" s="13">
        <f>G99</f>
        <v>0</v>
      </c>
      <c r="H98" s="13">
        <f>H99</f>
        <v>12000</v>
      </c>
    </row>
    <row r="99" spans="1:8" ht="15.75">
      <c r="A99" s="9"/>
      <c r="B99" s="10">
        <v>90013</v>
      </c>
      <c r="C99" s="11"/>
      <c r="D99" s="12" t="s">
        <v>170</v>
      </c>
      <c r="E99" s="13">
        <f>SUM(E100)</f>
        <v>12000</v>
      </c>
      <c r="F99" s="13">
        <f>SUM(F100)</f>
        <v>0</v>
      </c>
      <c r="G99" s="13">
        <f>SUM(G100)</f>
        <v>0</v>
      </c>
      <c r="H99" s="13">
        <f>SUM(H100)</f>
        <v>12000</v>
      </c>
    </row>
    <row r="100" spans="1:8" ht="47.25">
      <c r="A100" s="68"/>
      <c r="B100" s="69"/>
      <c r="C100" s="11">
        <v>4300</v>
      </c>
      <c r="D100" s="12" t="s">
        <v>61</v>
      </c>
      <c r="E100" s="72">
        <v>12000</v>
      </c>
      <c r="F100" s="72"/>
      <c r="G100" s="72"/>
      <c r="H100" s="263">
        <f>E100+F100-G100</f>
        <v>12000</v>
      </c>
    </row>
    <row r="101" spans="1:8" ht="15.75">
      <c r="A101" s="9">
        <v>926</v>
      </c>
      <c r="B101" s="10"/>
      <c r="C101" s="11"/>
      <c r="D101" s="12" t="s">
        <v>89</v>
      </c>
      <c r="E101" s="13">
        <f>E102</f>
        <v>20000</v>
      </c>
      <c r="F101" s="13">
        <f t="shared" ref="F101:H102" si="8">F102</f>
        <v>0</v>
      </c>
      <c r="G101" s="13">
        <f t="shared" si="8"/>
        <v>0</v>
      </c>
      <c r="H101" s="13">
        <f t="shared" si="8"/>
        <v>20000</v>
      </c>
    </row>
    <row r="102" spans="1:8" ht="15.75">
      <c r="A102" s="9"/>
      <c r="B102" s="10">
        <v>92695</v>
      </c>
      <c r="C102" s="11"/>
      <c r="D102" s="12" t="s">
        <v>8</v>
      </c>
      <c r="E102" s="13">
        <f>E103</f>
        <v>20000</v>
      </c>
      <c r="F102" s="13">
        <f t="shared" si="8"/>
        <v>0</v>
      </c>
      <c r="G102" s="13">
        <f t="shared" si="8"/>
        <v>0</v>
      </c>
      <c r="H102" s="13">
        <f t="shared" si="8"/>
        <v>20000</v>
      </c>
    </row>
    <row r="103" spans="1:8" ht="15.75">
      <c r="A103" s="9"/>
      <c r="B103" s="10"/>
      <c r="C103" s="11">
        <v>4300</v>
      </c>
      <c r="D103" s="12" t="s">
        <v>93</v>
      </c>
      <c r="E103" s="13">
        <v>20000</v>
      </c>
      <c r="F103" s="13"/>
      <c r="G103" s="13"/>
      <c r="H103" s="13">
        <f>E103+F103-G103</f>
        <v>20000</v>
      </c>
    </row>
    <row r="104" spans="1:8" ht="18.75">
      <c r="A104" s="9"/>
      <c r="B104" s="10"/>
      <c r="C104" s="11"/>
      <c r="D104" s="92" t="s">
        <v>91</v>
      </c>
      <c r="E104" s="93">
        <f>E101+E90+E98</f>
        <v>937000</v>
      </c>
      <c r="F104" s="93">
        <f>F101+F90+F98</f>
        <v>0</v>
      </c>
      <c r="G104" s="93">
        <f>G101+G90+G98</f>
        <v>0</v>
      </c>
      <c r="H104" s="93">
        <f>H101+H90+H98</f>
        <v>937000</v>
      </c>
    </row>
    <row r="107" spans="1:8" ht="18.75">
      <c r="A107" s="512" t="s">
        <v>524</v>
      </c>
      <c r="B107" s="513"/>
      <c r="C107" s="513"/>
      <c r="D107" s="513"/>
      <c r="E107" s="513"/>
      <c r="F107" s="513"/>
    </row>
    <row r="108" spans="1:8" ht="15.75">
      <c r="A108" s="94">
        <v>853</v>
      </c>
      <c r="B108" s="95"/>
      <c r="C108" s="96"/>
      <c r="D108" s="97" t="s">
        <v>77</v>
      </c>
      <c r="E108" s="98">
        <f>E109</f>
        <v>33000</v>
      </c>
      <c r="F108" s="98">
        <f>F109</f>
        <v>0</v>
      </c>
      <c r="G108" s="98">
        <f>G109</f>
        <v>0</v>
      </c>
      <c r="H108" s="295">
        <f>H109</f>
        <v>33000</v>
      </c>
    </row>
    <row r="109" spans="1:8" ht="15.75">
      <c r="A109" s="9"/>
      <c r="B109" s="10">
        <v>85395</v>
      </c>
      <c r="C109" s="11"/>
      <c r="D109" s="12" t="s">
        <v>8</v>
      </c>
      <c r="E109" s="13">
        <f>E110+E111</f>
        <v>33000</v>
      </c>
      <c r="F109" s="13">
        <f>F110+F111</f>
        <v>0</v>
      </c>
      <c r="G109" s="13">
        <f>G110+G111</f>
        <v>0</v>
      </c>
      <c r="H109" s="271">
        <f>H110+H111</f>
        <v>33000</v>
      </c>
    </row>
    <row r="110" spans="1:8" ht="15.75">
      <c r="A110" s="9"/>
      <c r="B110" s="10"/>
      <c r="C110" s="11">
        <v>4210</v>
      </c>
      <c r="D110" s="12" t="s">
        <v>102</v>
      </c>
      <c r="E110" s="13">
        <v>27550</v>
      </c>
      <c r="F110" s="13"/>
      <c r="G110" s="13"/>
      <c r="H110" s="271">
        <f>E110+F110-G110</f>
        <v>27550</v>
      </c>
    </row>
    <row r="111" spans="1:8" ht="15.75">
      <c r="A111" s="301"/>
      <c r="B111" s="302"/>
      <c r="C111" s="303">
        <v>4300</v>
      </c>
      <c r="D111" s="304" t="s">
        <v>93</v>
      </c>
      <c r="E111" s="305">
        <v>5450</v>
      </c>
      <c r="F111" s="305"/>
      <c r="G111" s="305"/>
      <c r="H111" s="484">
        <f>E111+F111-G111</f>
        <v>5450</v>
      </c>
    </row>
  </sheetData>
  <mergeCells count="3">
    <mergeCell ref="A89:E89"/>
    <mergeCell ref="A1:H1"/>
    <mergeCell ref="A107:F107"/>
  </mergeCells>
  <conditionalFormatting sqref="A89">
    <cfRule type="expression" dxfId="269" priority="118" stopIfTrue="1">
      <formula>$A89 = "OGÓŁEM:"</formula>
    </cfRule>
    <cfRule type="expression" dxfId="268" priority="119" stopIfTrue="1">
      <formula>LEN(#REF!)&gt;1</formula>
    </cfRule>
    <cfRule type="expression" dxfId="267" priority="120" stopIfTrue="1">
      <formula>LEN(#REF!)&gt;1</formula>
    </cfRule>
  </conditionalFormatting>
  <conditionalFormatting sqref="A107">
    <cfRule type="expression" dxfId="266" priority="4" stopIfTrue="1">
      <formula>$A107 = "OGÓŁEM:"</formula>
    </cfRule>
    <cfRule type="expression" dxfId="265" priority="5" stopIfTrue="1">
      <formula>LEN(#REF!)&gt;1</formula>
    </cfRule>
    <cfRule type="expression" dxfId="264" priority="6" stopIfTrue="1">
      <formula>LEN(#REF!)&gt;1</formula>
    </cfRule>
  </conditionalFormatting>
  <conditionalFormatting sqref="A6:H79 A108:H111">
    <cfRule type="expression" dxfId="263" priority="7" stopIfTrue="1">
      <formula>$D6 = "OGÓŁEM:"</formula>
    </cfRule>
    <cfRule type="expression" dxfId="262" priority="8" stopIfTrue="1">
      <formula>LEN($A6)&gt;1</formula>
    </cfRule>
    <cfRule type="expression" dxfId="261" priority="9" stopIfTrue="1">
      <formula>LEN($B6)&gt;1</formula>
    </cfRule>
  </conditionalFormatting>
  <conditionalFormatting sqref="A90:H100">
    <cfRule type="expression" dxfId="260" priority="13" stopIfTrue="1">
      <formula>$D90 = "OGÓŁEM:"</formula>
    </cfRule>
    <cfRule type="expression" dxfId="259" priority="14" stopIfTrue="1">
      <formula>LEN($A90)&gt;1</formula>
    </cfRule>
    <cfRule type="expression" dxfId="258" priority="15" stopIfTrue="1">
      <formula>LEN($B90)&gt;1</formula>
    </cfRule>
  </conditionalFormatting>
  <conditionalFormatting sqref="F80:H82 A80:E88">
    <cfRule type="expression" dxfId="257" priority="31" stopIfTrue="1">
      <formula>$D80 = "OGÓŁEM:"</formula>
    </cfRule>
    <cfRule type="expression" dxfId="256" priority="32" stopIfTrue="1">
      <formula>LEN($A80)&gt;1</formula>
    </cfRule>
    <cfRule type="expression" dxfId="255" priority="33" stopIfTrue="1">
      <formula>LEN($B80)&gt;1</formula>
    </cfRule>
  </conditionalFormatting>
  <conditionalFormatting sqref="F101:H104 A101:E106 A112:E470">
    <cfRule type="expression" dxfId="254" priority="61" stopIfTrue="1">
      <formula>$D101 = "OGÓŁEM:"</formula>
    </cfRule>
    <cfRule type="expression" dxfId="253" priority="62" stopIfTrue="1">
      <formula>LEN($A101)&gt;1</formula>
    </cfRule>
    <cfRule type="expression" dxfId="252" priority="63" stopIfTrue="1">
      <formula>LEN($B101)&gt;1</formula>
    </cfRule>
  </conditionalFormatting>
  <pageMargins left="0.11811023622047245" right="0.11811023622047245" top="0.94488188976377963" bottom="0.74803149606299213" header="0.31496062992125984" footer="0.31496062992125984"/>
  <pageSetup paperSize="9" scale="65" fitToWidth="0" fitToHeight="0" orientation="portrait" r:id="rId1"/>
  <headerFooter>
    <oddHeader xml:space="preserve">&amp;RZałącznik Nr 2a
do Uchwały Nr XII/.../2024  
Rady Gminy Komorniki z dnia 28 listopada 2024r.    
w sprawie uchwały budżetowej na 2024r.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H99"/>
  <sheetViews>
    <sheetView topLeftCell="A75" zoomScale="75" zoomScaleNormal="75" zoomScaleSheetLayoutView="75" workbookViewId="0">
      <selection activeCell="F99" sqref="F98:F99"/>
    </sheetView>
  </sheetViews>
  <sheetFormatPr defaultRowHeight="15"/>
  <cols>
    <col min="1" max="1" width="5.7109375" customWidth="1"/>
    <col min="2" max="2" width="7.42578125" customWidth="1"/>
    <col min="3" max="3" width="6.5703125" customWidth="1"/>
    <col min="4" max="4" width="62.7109375" customWidth="1"/>
    <col min="5" max="5" width="16.140625" customWidth="1"/>
    <col min="6" max="6" width="17" customWidth="1"/>
    <col min="7" max="7" width="16.28515625" customWidth="1"/>
    <col min="8" max="8" width="16.140625" customWidth="1"/>
  </cols>
  <sheetData>
    <row r="1" spans="1:8" ht="27.75" customHeight="1">
      <c r="A1" s="516" t="s">
        <v>299</v>
      </c>
      <c r="B1" s="516"/>
      <c r="C1" s="516"/>
      <c r="D1" s="516"/>
      <c r="E1" s="516"/>
      <c r="F1" s="517"/>
      <c r="G1" s="517"/>
      <c r="H1" s="517"/>
    </row>
    <row r="2" spans="1:8" ht="9.75" customHeight="1">
      <c r="A2" s="158"/>
      <c r="B2" s="158"/>
      <c r="C2" s="158"/>
      <c r="D2" s="158"/>
      <c r="E2" s="158"/>
    </row>
    <row r="3" spans="1:8" ht="59.2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11" t="s">
        <v>312</v>
      </c>
      <c r="G3" s="211" t="s">
        <v>313</v>
      </c>
      <c r="H3" s="211" t="s">
        <v>314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12">
        <v>6</v>
      </c>
      <c r="G4" s="212">
        <v>7</v>
      </c>
      <c r="H4" s="212">
        <v>8</v>
      </c>
    </row>
    <row r="5" spans="1:8" ht="15.75" hidden="1" customHeight="1">
      <c r="A5" s="7"/>
      <c r="B5" s="8"/>
      <c r="C5" s="8"/>
      <c r="D5" s="8"/>
      <c r="E5" s="8"/>
    </row>
    <row r="6" spans="1:8" ht="15.75">
      <c r="A6" s="9">
        <v>10</v>
      </c>
      <c r="B6" s="10"/>
      <c r="C6" s="11"/>
      <c r="D6" s="12" t="s">
        <v>5</v>
      </c>
      <c r="E6" s="13">
        <f>E7+E9+E12</f>
        <v>389000</v>
      </c>
      <c r="F6" s="13">
        <f>F7+F9+F12</f>
        <v>0</v>
      </c>
      <c r="G6" s="13">
        <f>G7+G9+G12</f>
        <v>200000</v>
      </c>
      <c r="H6" s="13">
        <f>H7+H9+H12</f>
        <v>189000</v>
      </c>
    </row>
    <row r="7" spans="1:8" ht="15.75">
      <c r="A7" s="9"/>
      <c r="B7" s="10">
        <v>1008</v>
      </c>
      <c r="C7" s="11"/>
      <c r="D7" s="12" t="s">
        <v>92</v>
      </c>
      <c r="E7" s="13">
        <f>E8</f>
        <v>139000</v>
      </c>
      <c r="F7" s="13">
        <f>F8</f>
        <v>0</v>
      </c>
      <c r="G7" s="13">
        <f>G8</f>
        <v>0</v>
      </c>
      <c r="H7" s="13">
        <f>H8</f>
        <v>139000</v>
      </c>
    </row>
    <row r="8" spans="1:8" ht="15.75">
      <c r="A8" s="9"/>
      <c r="B8" s="10"/>
      <c r="C8" s="11">
        <v>6050</v>
      </c>
      <c r="D8" s="12" t="s">
        <v>98</v>
      </c>
      <c r="E8" s="13">
        <f>99000+40000</f>
        <v>139000</v>
      </c>
      <c r="F8" s="13"/>
      <c r="G8" s="13"/>
      <c r="H8" s="13">
        <f>E8+F8-G8</f>
        <v>139000</v>
      </c>
    </row>
    <row r="9" spans="1:8" ht="15.75">
      <c r="A9" s="9"/>
      <c r="B9" s="10">
        <v>1044</v>
      </c>
      <c r="C9" s="11"/>
      <c r="D9" s="12" t="s">
        <v>6</v>
      </c>
      <c r="E9" s="13">
        <f>E10</f>
        <v>200000</v>
      </c>
      <c r="F9" s="13">
        <f>F10</f>
        <v>0</v>
      </c>
      <c r="G9" s="13">
        <f>G10</f>
        <v>200000</v>
      </c>
      <c r="H9" s="13">
        <f>H10</f>
        <v>0</v>
      </c>
    </row>
    <row r="10" spans="1:8" ht="15.75">
      <c r="A10" s="9"/>
      <c r="B10" s="10"/>
      <c r="C10" s="11">
        <v>6050</v>
      </c>
      <c r="D10" s="12" t="s">
        <v>98</v>
      </c>
      <c r="E10" s="13">
        <v>200000</v>
      </c>
      <c r="F10" s="13"/>
      <c r="G10" s="13">
        <v>200000</v>
      </c>
      <c r="H10" s="13">
        <f>E10+F10-G10</f>
        <v>0</v>
      </c>
    </row>
    <row r="11" spans="1:8" ht="15.75">
      <c r="A11" s="9"/>
      <c r="B11" s="10">
        <v>1078</v>
      </c>
      <c r="C11" s="11"/>
      <c r="D11" s="12" t="s">
        <v>498</v>
      </c>
      <c r="E11" s="13">
        <f>SUM(E12)</f>
        <v>50000</v>
      </c>
      <c r="F11" s="13">
        <f>SUM(F12)</f>
        <v>0</v>
      </c>
      <c r="G11" s="13">
        <f>SUM(G12)</f>
        <v>0</v>
      </c>
      <c r="H11" s="13">
        <f>SUM(H12)</f>
        <v>50000</v>
      </c>
    </row>
    <row r="12" spans="1:8" ht="47.25">
      <c r="A12" s="9"/>
      <c r="B12" s="10"/>
      <c r="C12" s="11">
        <v>6300</v>
      </c>
      <c r="D12" s="12" t="s">
        <v>109</v>
      </c>
      <c r="E12" s="13">
        <v>50000</v>
      </c>
      <c r="F12" s="13"/>
      <c r="G12" s="13"/>
      <c r="H12" s="13">
        <f>E12+F12-G12</f>
        <v>50000</v>
      </c>
    </row>
    <row r="13" spans="1:8" ht="15.75">
      <c r="A13" s="9">
        <v>600</v>
      </c>
      <c r="B13" s="10"/>
      <c r="C13" s="11"/>
      <c r="D13" s="12" t="s">
        <v>12</v>
      </c>
      <c r="E13" s="13">
        <f>E14+E17+E20</f>
        <v>33124714.02</v>
      </c>
      <c r="F13" s="13">
        <f>F14+F17+F20</f>
        <v>1000</v>
      </c>
      <c r="G13" s="13">
        <f>G14+G17+G20</f>
        <v>477000</v>
      </c>
      <c r="H13" s="13">
        <f>H14+H17+H20</f>
        <v>32648714.02</v>
      </c>
    </row>
    <row r="14" spans="1:8" ht="15.75">
      <c r="A14" s="9"/>
      <c r="B14" s="10">
        <v>60004</v>
      </c>
      <c r="C14" s="11"/>
      <c r="D14" s="12" t="s">
        <v>14</v>
      </c>
      <c r="E14" s="13">
        <f>SUM(E15:E16)</f>
        <v>1056434</v>
      </c>
      <c r="F14" s="13">
        <f>SUM(F15:F16)</f>
        <v>0</v>
      </c>
      <c r="G14" s="13">
        <f>SUM(G15:G16)</f>
        <v>0</v>
      </c>
      <c r="H14" s="13">
        <f>SUM(H15:H16)</f>
        <v>1056434</v>
      </c>
    </row>
    <row r="15" spans="1:8" ht="63">
      <c r="A15" s="9"/>
      <c r="B15" s="10"/>
      <c r="C15" s="11">
        <v>6650</v>
      </c>
      <c r="D15" s="12" t="s">
        <v>206</v>
      </c>
      <c r="E15" s="13">
        <v>56434</v>
      </c>
      <c r="F15" s="13"/>
      <c r="G15" s="13"/>
      <c r="H15" s="13">
        <f>E15+F15-G15</f>
        <v>56434</v>
      </c>
    </row>
    <row r="16" spans="1:8" ht="15.75">
      <c r="A16" s="9"/>
      <c r="B16" s="10"/>
      <c r="C16" s="70">
        <v>6010</v>
      </c>
      <c r="D16" s="71" t="s">
        <v>399</v>
      </c>
      <c r="E16" s="13">
        <v>1000000</v>
      </c>
      <c r="F16" s="13"/>
      <c r="G16" s="13"/>
      <c r="H16" s="13">
        <f>E16+F16-G16</f>
        <v>1000000</v>
      </c>
    </row>
    <row r="17" spans="1:8" ht="15.75">
      <c r="A17" s="9"/>
      <c r="B17" s="10">
        <v>60014</v>
      </c>
      <c r="C17" s="11"/>
      <c r="D17" s="12" t="s">
        <v>15</v>
      </c>
      <c r="E17" s="13">
        <f>SUM(E18:E19)</f>
        <v>2536668</v>
      </c>
      <c r="F17" s="13">
        <f>SUM(F18:F19)</f>
        <v>0</v>
      </c>
      <c r="G17" s="13">
        <f>SUM(G18:G19)</f>
        <v>60000</v>
      </c>
      <c r="H17" s="13">
        <f>SUM(H18:H19)</f>
        <v>2476668</v>
      </c>
    </row>
    <row r="18" spans="1:8" ht="15.75">
      <c r="A18" s="9"/>
      <c r="B18" s="10"/>
      <c r="C18" s="11">
        <v>6050</v>
      </c>
      <c r="D18" s="12" t="s">
        <v>98</v>
      </c>
      <c r="E18" s="13">
        <f>3415000-2000000+120000+70000-195000</f>
        <v>1410000</v>
      </c>
      <c r="F18" s="13"/>
      <c r="G18" s="13">
        <v>60000</v>
      </c>
      <c r="H18" s="13">
        <f>E18+F18-G18</f>
        <v>1350000</v>
      </c>
    </row>
    <row r="19" spans="1:8" ht="47.25">
      <c r="A19" s="9"/>
      <c r="B19" s="10"/>
      <c r="C19" s="11">
        <v>6300</v>
      </c>
      <c r="D19" s="12" t="s">
        <v>109</v>
      </c>
      <c r="E19" s="13">
        <f>150000-120000+1096668</f>
        <v>1126668</v>
      </c>
      <c r="F19" s="13"/>
      <c r="G19" s="13"/>
      <c r="H19" s="13">
        <f>E19+F19-G19</f>
        <v>1126668</v>
      </c>
    </row>
    <row r="20" spans="1:8" ht="15.75">
      <c r="A20" s="9"/>
      <c r="B20" s="10">
        <v>60016</v>
      </c>
      <c r="C20" s="11"/>
      <c r="D20" s="12" t="s">
        <v>16</v>
      </c>
      <c r="E20" s="13">
        <f>SUM(E21:E22)</f>
        <v>29531612.02</v>
      </c>
      <c r="F20" s="13">
        <f>SUM(F21:F22)</f>
        <v>1000</v>
      </c>
      <c r="G20" s="13">
        <f>SUM(G21:G22)</f>
        <v>417000</v>
      </c>
      <c r="H20" s="13">
        <f>SUM(H21:H22)</f>
        <v>29115612.02</v>
      </c>
    </row>
    <row r="21" spans="1:8" ht="15.75">
      <c r="A21" s="9"/>
      <c r="B21" s="10"/>
      <c r="C21" s="87">
        <v>6050</v>
      </c>
      <c r="D21" s="88" t="s">
        <v>98</v>
      </c>
      <c r="E21" s="89">
        <f>21690000+10000+957800+2000000+600000+1000+170000+612000+396000+5016000-3766995+5000</f>
        <v>27690805</v>
      </c>
      <c r="F21" s="89">
        <v>1000</v>
      </c>
      <c r="G21" s="89">
        <v>417000</v>
      </c>
      <c r="H21" s="89">
        <f>E21+F21-G21</f>
        <v>27274805</v>
      </c>
    </row>
    <row r="22" spans="1:8" ht="47.25">
      <c r="A22" s="9"/>
      <c r="B22" s="10"/>
      <c r="C22" s="11">
        <v>6370</v>
      </c>
      <c r="D22" s="12" t="s">
        <v>215</v>
      </c>
      <c r="E22" s="13">
        <f>3000000-1159192.98</f>
        <v>1840807.02</v>
      </c>
      <c r="F22" s="13"/>
      <c r="G22" s="13"/>
      <c r="H22" s="89">
        <f>E22+F22-G22</f>
        <v>1840807.02</v>
      </c>
    </row>
    <row r="23" spans="1:8" ht="15.75">
      <c r="A23" s="9">
        <v>700</v>
      </c>
      <c r="B23" s="10"/>
      <c r="C23" s="11"/>
      <c r="D23" s="12" t="s">
        <v>18</v>
      </c>
      <c r="E23" s="13">
        <f>E24+E27+E29</f>
        <v>22691000</v>
      </c>
      <c r="F23" s="13">
        <f>F24+F27+F29</f>
        <v>0</v>
      </c>
      <c r="G23" s="13">
        <f>G24+G27+G29</f>
        <v>505000</v>
      </c>
      <c r="H23" s="13">
        <f>H24+H27+H29</f>
        <v>22186000</v>
      </c>
    </row>
    <row r="24" spans="1:8" ht="15.75">
      <c r="A24" s="9"/>
      <c r="B24" s="10">
        <v>70005</v>
      </c>
      <c r="C24" s="11"/>
      <c r="D24" s="12" t="s">
        <v>21</v>
      </c>
      <c r="E24" s="13">
        <f>SUM(E25:E26)</f>
        <v>18990000</v>
      </c>
      <c r="F24" s="13">
        <f>SUM(F25:F26)</f>
        <v>0</v>
      </c>
      <c r="G24" s="13">
        <f>SUM(G25:G26)</f>
        <v>0</v>
      </c>
      <c r="H24" s="13">
        <f>SUM(H25:H26)</f>
        <v>18990000</v>
      </c>
    </row>
    <row r="25" spans="1:8" ht="15.75">
      <c r="A25" s="9"/>
      <c r="B25" s="10"/>
      <c r="C25" s="11">
        <v>6050</v>
      </c>
      <c r="D25" s="12" t="s">
        <v>98</v>
      </c>
      <c r="E25" s="13">
        <f>650000-100000+50000</f>
        <v>600000</v>
      </c>
      <c r="F25" s="13"/>
      <c r="G25" s="13"/>
      <c r="H25" s="13">
        <f>E25+F25-G25</f>
        <v>600000</v>
      </c>
    </row>
    <row r="26" spans="1:8" ht="15.75">
      <c r="A26" s="9"/>
      <c r="B26" s="10"/>
      <c r="C26" s="11">
        <v>6060</v>
      </c>
      <c r="D26" s="12" t="s">
        <v>112</v>
      </c>
      <c r="E26" s="13">
        <f>5790000-2000000-1696668+1696668+300000+300000+14000000</f>
        <v>18390000</v>
      </c>
      <c r="F26" s="13"/>
      <c r="G26" s="13"/>
      <c r="H26" s="13">
        <f>E26+F26-G26</f>
        <v>18390000</v>
      </c>
    </row>
    <row r="27" spans="1:8" ht="15.75">
      <c r="A27" s="9"/>
      <c r="B27" s="10">
        <v>70007</v>
      </c>
      <c r="C27" s="11"/>
      <c r="D27" s="12" t="s">
        <v>24</v>
      </c>
      <c r="E27" s="13">
        <f>E28</f>
        <v>1000</v>
      </c>
      <c r="F27" s="13">
        <f>F28</f>
        <v>0</v>
      </c>
      <c r="G27" s="13">
        <f>G28</f>
        <v>0</v>
      </c>
      <c r="H27" s="13">
        <f>H28</f>
        <v>1000</v>
      </c>
    </row>
    <row r="28" spans="1:8" ht="15.75">
      <c r="A28" s="9"/>
      <c r="B28" s="10"/>
      <c r="C28" s="11">
        <v>6050</v>
      </c>
      <c r="D28" s="12" t="s">
        <v>98</v>
      </c>
      <c r="E28" s="13">
        <f>70000-69000</f>
        <v>1000</v>
      </c>
      <c r="F28" s="13"/>
      <c r="G28" s="13"/>
      <c r="H28" s="13">
        <f>E28+F28-G28</f>
        <v>1000</v>
      </c>
    </row>
    <row r="29" spans="1:8" ht="15.75">
      <c r="A29" s="9"/>
      <c r="B29" s="10">
        <v>70095</v>
      </c>
      <c r="C29" s="11"/>
      <c r="D29" s="12" t="s">
        <v>8</v>
      </c>
      <c r="E29" s="13">
        <f>E30</f>
        <v>3700000</v>
      </c>
      <c r="F29" s="13">
        <f>F30</f>
        <v>0</v>
      </c>
      <c r="G29" s="13">
        <f>G30</f>
        <v>505000</v>
      </c>
      <c r="H29" s="13">
        <f>H30</f>
        <v>3195000</v>
      </c>
    </row>
    <row r="30" spans="1:8" ht="15.75">
      <c r="A30" s="9"/>
      <c r="B30" s="10"/>
      <c r="C30" s="11">
        <v>6050</v>
      </c>
      <c r="D30" s="12" t="s">
        <v>98</v>
      </c>
      <c r="E30" s="13">
        <v>3700000</v>
      </c>
      <c r="F30" s="13"/>
      <c r="G30" s="13">
        <v>505000</v>
      </c>
      <c r="H30" s="13">
        <f>E30+F30-G30</f>
        <v>3195000</v>
      </c>
    </row>
    <row r="31" spans="1:8" ht="15.75">
      <c r="A31" s="9">
        <v>710</v>
      </c>
      <c r="B31" s="10"/>
      <c r="C31" s="11"/>
      <c r="D31" s="12" t="s">
        <v>26</v>
      </c>
      <c r="E31" s="13">
        <f>E32</f>
        <v>240000</v>
      </c>
      <c r="F31" s="13">
        <f t="shared" ref="F31:H32" si="0">F32</f>
        <v>0</v>
      </c>
      <c r="G31" s="13">
        <f t="shared" si="0"/>
        <v>0</v>
      </c>
      <c r="H31" s="13">
        <f t="shared" si="0"/>
        <v>240000</v>
      </c>
    </row>
    <row r="32" spans="1:8" ht="15.75">
      <c r="A32" s="9"/>
      <c r="B32" s="10">
        <v>71004</v>
      </c>
      <c r="C32" s="11"/>
      <c r="D32" s="12" t="s">
        <v>113</v>
      </c>
      <c r="E32" s="13">
        <f>E33</f>
        <v>240000</v>
      </c>
      <c r="F32" s="13">
        <f t="shared" si="0"/>
        <v>0</v>
      </c>
      <c r="G32" s="13">
        <f t="shared" si="0"/>
        <v>0</v>
      </c>
      <c r="H32" s="13">
        <f t="shared" si="0"/>
        <v>240000</v>
      </c>
    </row>
    <row r="33" spans="1:8" ht="15.75">
      <c r="A33" s="9"/>
      <c r="B33" s="10"/>
      <c r="C33" s="11">
        <v>6050</v>
      </c>
      <c r="D33" s="12" t="s">
        <v>98</v>
      </c>
      <c r="E33" s="13">
        <f>390000-150000</f>
        <v>240000</v>
      </c>
      <c r="F33" s="13"/>
      <c r="G33" s="13"/>
      <c r="H33" s="13">
        <f>E33+F33-G33</f>
        <v>240000</v>
      </c>
    </row>
    <row r="34" spans="1:8" ht="15.75">
      <c r="A34" s="9">
        <v>750</v>
      </c>
      <c r="B34" s="10"/>
      <c r="C34" s="11"/>
      <c r="D34" s="12" t="s">
        <v>28</v>
      </c>
      <c r="E34" s="13">
        <f>E35+E38</f>
        <v>1298904</v>
      </c>
      <c r="F34" s="13">
        <f>F35+F38</f>
        <v>0</v>
      </c>
      <c r="G34" s="13">
        <f>G35+G38</f>
        <v>460693</v>
      </c>
      <c r="H34" s="13">
        <f>H35+H38</f>
        <v>838211</v>
      </c>
    </row>
    <row r="35" spans="1:8" ht="15.75">
      <c r="A35" s="9"/>
      <c r="B35" s="10">
        <v>75023</v>
      </c>
      <c r="C35" s="11"/>
      <c r="D35" s="12" t="s">
        <v>30</v>
      </c>
      <c r="E35" s="13">
        <f>SUM(E36:E37)</f>
        <v>250000</v>
      </c>
      <c r="F35" s="13">
        <f>SUM(F36:F37)</f>
        <v>0</v>
      </c>
      <c r="G35" s="13">
        <f>SUM(G36:G37)</f>
        <v>100000</v>
      </c>
      <c r="H35" s="13">
        <f>SUM(H36:H37)</f>
        <v>150000</v>
      </c>
    </row>
    <row r="36" spans="1:8" ht="15.75">
      <c r="A36" s="9"/>
      <c r="B36" s="10"/>
      <c r="C36" s="11">
        <v>6050</v>
      </c>
      <c r="D36" s="12" t="s">
        <v>98</v>
      </c>
      <c r="E36" s="13">
        <v>100000</v>
      </c>
      <c r="F36" s="13"/>
      <c r="G36" s="13">
        <v>100000</v>
      </c>
      <c r="H36" s="13">
        <f>E36+F36-G36</f>
        <v>0</v>
      </c>
    </row>
    <row r="37" spans="1:8" ht="15.75">
      <c r="A37" s="9"/>
      <c r="B37" s="10"/>
      <c r="C37" s="11">
        <v>6060</v>
      </c>
      <c r="D37" s="12" t="s">
        <v>112</v>
      </c>
      <c r="E37" s="13">
        <v>150000</v>
      </c>
      <c r="F37" s="13"/>
      <c r="G37" s="13"/>
      <c r="H37" s="13">
        <f>E37+F37-G37</f>
        <v>150000</v>
      </c>
    </row>
    <row r="38" spans="1:8" ht="15.75">
      <c r="A38" s="9"/>
      <c r="B38" s="10">
        <v>75095</v>
      </c>
      <c r="C38" s="11"/>
      <c r="D38" s="12" t="s">
        <v>8</v>
      </c>
      <c r="E38" s="13">
        <f>SUM(E39:E40)</f>
        <v>1048904</v>
      </c>
      <c r="F38" s="13">
        <f>SUM(F39:F40)</f>
        <v>0</v>
      </c>
      <c r="G38" s="13">
        <f>SUM(G39:G40)</f>
        <v>360693</v>
      </c>
      <c r="H38" s="13">
        <f>SUM(H39:H40)</f>
        <v>688211</v>
      </c>
    </row>
    <row r="39" spans="1:8" ht="15.75">
      <c r="A39" s="9"/>
      <c r="B39" s="10"/>
      <c r="C39" s="11">
        <v>6067</v>
      </c>
      <c r="D39" s="12" t="s">
        <v>112</v>
      </c>
      <c r="E39" s="13">
        <v>756500</v>
      </c>
      <c r="F39" s="13"/>
      <c r="G39" s="13">
        <f>529550-271307</f>
        <v>258243</v>
      </c>
      <c r="H39" s="13">
        <f>E39+F39-G39</f>
        <v>498257</v>
      </c>
    </row>
    <row r="40" spans="1:8" ht="15.75">
      <c r="A40" s="9"/>
      <c r="B40" s="10"/>
      <c r="C40" s="11">
        <v>6069</v>
      </c>
      <c r="D40" s="12" t="s">
        <v>112</v>
      </c>
      <c r="E40" s="13">
        <f>255404+30000+7000</f>
        <v>292404</v>
      </c>
      <c r="F40" s="13"/>
      <c r="G40" s="13">
        <v>102450</v>
      </c>
      <c r="H40" s="13">
        <f>E40+F40-G40</f>
        <v>189954</v>
      </c>
    </row>
    <row r="41" spans="1:8" ht="15.75">
      <c r="A41" s="9">
        <v>754</v>
      </c>
      <c r="B41" s="10"/>
      <c r="C41" s="11"/>
      <c r="D41" s="12" t="s">
        <v>34</v>
      </c>
      <c r="E41" s="13">
        <f>+E44+E48+E46+E42</f>
        <v>1212500</v>
      </c>
      <c r="F41" s="13">
        <f>+F44+F48+F46+F42</f>
        <v>0</v>
      </c>
      <c r="G41" s="13">
        <f>+G44+G48+G46+G42</f>
        <v>0</v>
      </c>
      <c r="H41" s="13">
        <f>+H44+H48+H46+H42</f>
        <v>1212500</v>
      </c>
    </row>
    <row r="42" spans="1:8" ht="15.75">
      <c r="A42" s="9"/>
      <c r="B42" s="10">
        <v>75410</v>
      </c>
      <c r="C42" s="11"/>
      <c r="D42" s="12" t="s">
        <v>422</v>
      </c>
      <c r="E42" s="13">
        <f>E43</f>
        <v>39000</v>
      </c>
      <c r="F42" s="13">
        <f t="shared" ref="F42:H44" si="1">F43</f>
        <v>0</v>
      </c>
      <c r="G42" s="13">
        <f t="shared" si="1"/>
        <v>0</v>
      </c>
      <c r="H42" s="13">
        <f t="shared" si="1"/>
        <v>39000</v>
      </c>
    </row>
    <row r="43" spans="1:8" ht="31.5">
      <c r="A43" s="9"/>
      <c r="B43" s="10"/>
      <c r="C43" s="11">
        <v>6170</v>
      </c>
      <c r="D43" s="71" t="s">
        <v>412</v>
      </c>
      <c r="E43" s="13">
        <v>39000</v>
      </c>
      <c r="F43" s="13"/>
      <c r="G43" s="13"/>
      <c r="H43" s="13">
        <f>E43+F43-G43</f>
        <v>39000</v>
      </c>
    </row>
    <row r="44" spans="1:8" ht="15.75">
      <c r="A44" s="9"/>
      <c r="B44" s="10">
        <v>75414</v>
      </c>
      <c r="C44" s="11"/>
      <c r="D44" s="12" t="s">
        <v>133</v>
      </c>
      <c r="E44" s="13">
        <f>E45</f>
        <v>20000</v>
      </c>
      <c r="F44" s="13">
        <f t="shared" si="1"/>
        <v>0</v>
      </c>
      <c r="G44" s="13">
        <f t="shared" si="1"/>
        <v>0</v>
      </c>
      <c r="H44" s="13">
        <f t="shared" si="1"/>
        <v>20000</v>
      </c>
    </row>
    <row r="45" spans="1:8" ht="15.75">
      <c r="A45" s="9"/>
      <c r="B45" s="10"/>
      <c r="C45" s="11">
        <v>6060</v>
      </c>
      <c r="D45" s="12" t="s">
        <v>112</v>
      </c>
      <c r="E45" s="13">
        <v>20000</v>
      </c>
      <c r="F45" s="13"/>
      <c r="G45" s="13"/>
      <c r="H45" s="13">
        <f>E45+F45-G45</f>
        <v>20000</v>
      </c>
    </row>
    <row r="46" spans="1:8" ht="15.75">
      <c r="A46" s="9"/>
      <c r="B46" s="10">
        <v>75416</v>
      </c>
      <c r="C46" s="11"/>
      <c r="D46" s="12" t="s">
        <v>35</v>
      </c>
      <c r="E46" s="13">
        <f>E47</f>
        <v>193500</v>
      </c>
      <c r="F46" s="13">
        <f>F47</f>
        <v>0</v>
      </c>
      <c r="G46" s="13">
        <f>G47</f>
        <v>0</v>
      </c>
      <c r="H46" s="13">
        <f>H47</f>
        <v>193500</v>
      </c>
    </row>
    <row r="47" spans="1:8" ht="15.75">
      <c r="A47" s="9"/>
      <c r="B47" s="10"/>
      <c r="C47" s="11">
        <v>6060</v>
      </c>
      <c r="D47" s="12" t="s">
        <v>112</v>
      </c>
      <c r="E47" s="13">
        <f>177000+11000+5500</f>
        <v>193500</v>
      </c>
      <c r="F47" s="13"/>
      <c r="G47" s="13"/>
      <c r="H47" s="13">
        <f>E47+F47-G47</f>
        <v>193500</v>
      </c>
    </row>
    <row r="48" spans="1:8" ht="15.75">
      <c r="A48" s="9"/>
      <c r="B48" s="10">
        <v>75495</v>
      </c>
      <c r="C48" s="11"/>
      <c r="D48" s="12" t="s">
        <v>8</v>
      </c>
      <c r="E48" s="13">
        <f>E49</f>
        <v>960000</v>
      </c>
      <c r="F48" s="13">
        <f>F49</f>
        <v>0</v>
      </c>
      <c r="G48" s="13">
        <f>G49</f>
        <v>0</v>
      </c>
      <c r="H48" s="13">
        <f>H49</f>
        <v>960000</v>
      </c>
    </row>
    <row r="49" spans="1:8" ht="15.75">
      <c r="A49" s="9"/>
      <c r="B49" s="10"/>
      <c r="C49" s="11">
        <v>6050</v>
      </c>
      <c r="D49" s="12" t="s">
        <v>98</v>
      </c>
      <c r="E49" s="13">
        <f>610000+350000</f>
        <v>960000</v>
      </c>
      <c r="F49" s="13"/>
      <c r="G49" s="13"/>
      <c r="H49" s="13">
        <f>E49+F49-G49</f>
        <v>960000</v>
      </c>
    </row>
    <row r="50" spans="1:8" ht="15.75">
      <c r="A50" s="9">
        <v>801</v>
      </c>
      <c r="B50" s="10"/>
      <c r="C50" s="11"/>
      <c r="D50" s="12" t="s">
        <v>58</v>
      </c>
      <c r="E50" s="13">
        <f>E51+E56+E58</f>
        <v>8260980</v>
      </c>
      <c r="F50" s="13">
        <f>F51+F56+F58</f>
        <v>32217.370000000003</v>
      </c>
      <c r="G50" s="13">
        <f>G51+G56+G58</f>
        <v>374846.37</v>
      </c>
      <c r="H50" s="13">
        <f>H51+H56+H58</f>
        <v>7918351</v>
      </c>
    </row>
    <row r="51" spans="1:8" ht="15.75">
      <c r="A51" s="9"/>
      <c r="B51" s="10">
        <v>80101</v>
      </c>
      <c r="C51" s="11"/>
      <c r="D51" s="12" t="s">
        <v>59</v>
      </c>
      <c r="E51" s="13">
        <f>SUM(E52:E55)</f>
        <v>7806580</v>
      </c>
      <c r="F51" s="13">
        <f>SUM(F52:F55)</f>
        <v>20000</v>
      </c>
      <c r="G51" s="13">
        <f>SUM(G52:G55)</f>
        <v>363000</v>
      </c>
      <c r="H51" s="13">
        <f>SUM(H52:H55)</f>
        <v>7463580</v>
      </c>
    </row>
    <row r="52" spans="1:8" ht="15.75">
      <c r="A52" s="9"/>
      <c r="B52" s="121"/>
      <c r="C52" s="122">
        <v>6050</v>
      </c>
      <c r="D52" s="160" t="s">
        <v>98</v>
      </c>
      <c r="E52" s="161">
        <f>2050000+800000+500000+1200000+300000+1100000-1000+80000+550000-800000+200000-429000-630000</f>
        <v>4920000</v>
      </c>
      <c r="F52" s="161">
        <v>20000</v>
      </c>
      <c r="G52" s="161">
        <v>193000</v>
      </c>
      <c r="H52" s="13">
        <f>E52+F52-G52</f>
        <v>4747000</v>
      </c>
    </row>
    <row r="53" spans="1:8" ht="15.75">
      <c r="A53" s="9"/>
      <c r="B53" s="10"/>
      <c r="C53" s="11">
        <v>6060</v>
      </c>
      <c r="D53" s="12" t="s">
        <v>112</v>
      </c>
      <c r="E53" s="13">
        <f>60000+50000+12000</f>
        <v>122000</v>
      </c>
      <c r="F53" s="13"/>
      <c r="G53" s="13"/>
      <c r="H53" s="13">
        <f>E53+F53-G53</f>
        <v>122000</v>
      </c>
    </row>
    <row r="54" spans="1:8" ht="47.25">
      <c r="A54" s="9"/>
      <c r="B54" s="10"/>
      <c r="C54" s="11">
        <v>6370</v>
      </c>
      <c r="D54" s="12" t="s">
        <v>215</v>
      </c>
      <c r="E54" s="13">
        <f>3000000-935420</f>
        <v>2064580</v>
      </c>
      <c r="F54" s="13"/>
      <c r="G54" s="13">
        <v>170000</v>
      </c>
      <c r="H54" s="13">
        <f>E54+F54-G54</f>
        <v>1894580</v>
      </c>
    </row>
    <row r="55" spans="1:8" ht="31.5">
      <c r="A55" s="9"/>
      <c r="B55" s="10"/>
      <c r="C55" s="70">
        <v>6580</v>
      </c>
      <c r="D55" s="71" t="s">
        <v>311</v>
      </c>
      <c r="E55" s="13">
        <f>800000-100000</f>
        <v>700000</v>
      </c>
      <c r="F55" s="13"/>
      <c r="G55" s="13"/>
      <c r="H55" s="13">
        <f>E55+F55-G55</f>
        <v>700000</v>
      </c>
    </row>
    <row r="56" spans="1:8" ht="15.75">
      <c r="A56" s="9"/>
      <c r="B56" s="10">
        <v>80104</v>
      </c>
      <c r="C56" s="11"/>
      <c r="D56" s="12" t="s">
        <v>62</v>
      </c>
      <c r="E56" s="13">
        <f>SUM(E57)</f>
        <v>360000</v>
      </c>
      <c r="F56" s="13">
        <f>SUM(F57)</f>
        <v>0</v>
      </c>
      <c r="G56" s="13">
        <f>SUM(G57)</f>
        <v>0</v>
      </c>
      <c r="H56" s="13">
        <f>SUM(H57)</f>
        <v>360000</v>
      </c>
    </row>
    <row r="57" spans="1:8" ht="15.75">
      <c r="A57" s="9"/>
      <c r="B57" s="10"/>
      <c r="C57" s="122">
        <v>6050</v>
      </c>
      <c r="D57" s="160" t="s">
        <v>98</v>
      </c>
      <c r="E57" s="13">
        <v>360000</v>
      </c>
      <c r="F57" s="13"/>
      <c r="G57" s="13"/>
      <c r="H57" s="13">
        <f>E57+F57-G57</f>
        <v>360000</v>
      </c>
    </row>
    <row r="58" spans="1:8" ht="15.75">
      <c r="A58" s="9"/>
      <c r="B58" s="10">
        <v>80195</v>
      </c>
      <c r="C58" s="11"/>
      <c r="D58" s="12" t="s">
        <v>8</v>
      </c>
      <c r="E58" s="13">
        <f>SUM(E59:E60)</f>
        <v>94400</v>
      </c>
      <c r="F58" s="13">
        <f t="shared" ref="F58:H58" si="2">SUM(F59:F60)</f>
        <v>12217.37</v>
      </c>
      <c r="G58" s="13">
        <f t="shared" si="2"/>
        <v>11846.37</v>
      </c>
      <c r="H58" s="13">
        <f t="shared" si="2"/>
        <v>94771</v>
      </c>
    </row>
    <row r="59" spans="1:8" ht="15.75">
      <c r="A59" s="9"/>
      <c r="B59" s="10"/>
      <c r="C59" s="70">
        <v>6057</v>
      </c>
      <c r="D59" s="71" t="s">
        <v>98</v>
      </c>
      <c r="E59" s="13">
        <v>94400</v>
      </c>
      <c r="F59" s="13">
        <v>371</v>
      </c>
      <c r="G59" s="13">
        <v>11846.37</v>
      </c>
      <c r="H59" s="13">
        <f>E59+F59-G59</f>
        <v>82924.63</v>
      </c>
    </row>
    <row r="60" spans="1:8" ht="15.75">
      <c r="A60" s="9"/>
      <c r="B60" s="10"/>
      <c r="C60" s="70">
        <v>6059</v>
      </c>
      <c r="D60" s="71" t="s">
        <v>98</v>
      </c>
      <c r="E60" s="13"/>
      <c r="F60" s="13">
        <v>11846.37</v>
      </c>
      <c r="G60" s="13"/>
      <c r="H60" s="13">
        <f>E60+F60-G60</f>
        <v>11846.37</v>
      </c>
    </row>
    <row r="61" spans="1:8" ht="15.75">
      <c r="A61" s="9">
        <v>851</v>
      </c>
      <c r="B61" s="10"/>
      <c r="C61" s="11"/>
      <c r="D61" s="12" t="s">
        <v>155</v>
      </c>
      <c r="E61" s="13">
        <f>E62</f>
        <v>102000</v>
      </c>
      <c r="F61" s="13">
        <f>F62</f>
        <v>0</v>
      </c>
      <c r="G61" s="13">
        <f>G62</f>
        <v>0</v>
      </c>
      <c r="H61" s="13">
        <f>H62</f>
        <v>102000</v>
      </c>
    </row>
    <row r="62" spans="1:8" ht="15.75">
      <c r="A62" s="9"/>
      <c r="B62" s="10">
        <v>85154</v>
      </c>
      <c r="C62" s="11"/>
      <c r="D62" s="12" t="s">
        <v>157</v>
      </c>
      <c r="E62" s="13">
        <f>SUM(E63)</f>
        <v>102000</v>
      </c>
      <c r="F62" s="13">
        <f>SUM(F63)</f>
        <v>0</v>
      </c>
      <c r="G62" s="13">
        <f>SUM(G63)</f>
        <v>0</v>
      </c>
      <c r="H62" s="13">
        <f>SUM(H63)</f>
        <v>102000</v>
      </c>
    </row>
    <row r="63" spans="1:8" ht="15.75">
      <c r="A63" s="9"/>
      <c r="B63" s="10"/>
      <c r="C63" s="122">
        <v>6050</v>
      </c>
      <c r="D63" s="160" t="s">
        <v>98</v>
      </c>
      <c r="E63" s="13">
        <v>102000</v>
      </c>
      <c r="F63" s="13"/>
      <c r="G63" s="13"/>
      <c r="H63" s="13">
        <f>E63+F63-G63</f>
        <v>102000</v>
      </c>
    </row>
    <row r="64" spans="1:8" ht="15.75">
      <c r="A64" s="9">
        <v>852</v>
      </c>
      <c r="B64" s="10"/>
      <c r="C64" s="11"/>
      <c r="D64" s="12" t="s">
        <v>67</v>
      </c>
      <c r="E64" s="13">
        <f>E65</f>
        <v>205410</v>
      </c>
      <c r="F64" s="13">
        <f>F65</f>
        <v>0</v>
      </c>
      <c r="G64" s="13">
        <f>G65</f>
        <v>0</v>
      </c>
      <c r="H64" s="13">
        <f>H65</f>
        <v>205410</v>
      </c>
    </row>
    <row r="65" spans="1:8" ht="15.75">
      <c r="A65" s="9"/>
      <c r="B65" s="10">
        <v>85232</v>
      </c>
      <c r="C65" s="11"/>
      <c r="D65" s="12" t="s">
        <v>76</v>
      </c>
      <c r="E65" s="13">
        <f>SUM(E66:E69)</f>
        <v>205410</v>
      </c>
      <c r="F65" s="13">
        <f>SUM(F66:F69)</f>
        <v>0</v>
      </c>
      <c r="G65" s="13">
        <f>SUM(G66:G69)</f>
        <v>0</v>
      </c>
      <c r="H65" s="13">
        <f>SUM(H66:H69)</f>
        <v>205410</v>
      </c>
    </row>
    <row r="66" spans="1:8" ht="15.75">
      <c r="A66" s="9"/>
      <c r="B66" s="10"/>
      <c r="C66" s="11">
        <v>6057</v>
      </c>
      <c r="D66" s="71" t="s">
        <v>98</v>
      </c>
      <c r="E66" s="13">
        <f>138000-109000</f>
        <v>29000</v>
      </c>
      <c r="F66" s="65"/>
      <c r="G66" s="65"/>
      <c r="H66" s="13">
        <f>E66+F66-G66</f>
        <v>29000</v>
      </c>
    </row>
    <row r="67" spans="1:8" ht="15.75">
      <c r="A67" s="9"/>
      <c r="B67" s="10"/>
      <c r="C67" s="11">
        <v>6059</v>
      </c>
      <c r="D67" s="71" t="s">
        <v>98</v>
      </c>
      <c r="E67" s="13">
        <f>31740-25070</f>
        <v>6670</v>
      </c>
      <c r="F67" s="65"/>
      <c r="G67" s="65"/>
      <c r="H67" s="13">
        <f>E67+F67-G67</f>
        <v>6670</v>
      </c>
    </row>
    <row r="68" spans="1:8" ht="15.75">
      <c r="A68" s="9"/>
      <c r="B68" s="10"/>
      <c r="C68" s="11">
        <v>6067</v>
      </c>
      <c r="D68" s="12" t="s">
        <v>112</v>
      </c>
      <c r="E68" s="13">
        <f>29000+109000</f>
        <v>138000</v>
      </c>
      <c r="F68" s="65"/>
      <c r="G68" s="65"/>
      <c r="H68" s="13">
        <f>E68+F68-G68</f>
        <v>138000</v>
      </c>
    </row>
    <row r="69" spans="1:8" ht="15.75">
      <c r="A69" s="9"/>
      <c r="B69" s="10"/>
      <c r="C69" s="11">
        <v>6069</v>
      </c>
      <c r="D69" s="12" t="s">
        <v>112</v>
      </c>
      <c r="E69" s="13">
        <f>6670+25070</f>
        <v>31740</v>
      </c>
      <c r="F69" s="65"/>
      <c r="G69" s="65"/>
      <c r="H69" s="13">
        <f>E69+F69-G69</f>
        <v>31740</v>
      </c>
    </row>
    <row r="70" spans="1:8" ht="15.75">
      <c r="A70" s="9">
        <v>900</v>
      </c>
      <c r="B70" s="10"/>
      <c r="C70" s="11"/>
      <c r="D70" s="12" t="s">
        <v>84</v>
      </c>
      <c r="E70" s="13">
        <f>E73+E75+E71+E78</f>
        <v>3623999</v>
      </c>
      <c r="F70" s="13">
        <f>F73+F75+F71+F78</f>
        <v>0</v>
      </c>
      <c r="G70" s="13">
        <f>G73+G75+G71+G78</f>
        <v>816112.34</v>
      </c>
      <c r="H70" s="13">
        <f>H73+H75+H71+H78</f>
        <v>2807886.66</v>
      </c>
    </row>
    <row r="71" spans="1:8" ht="15.75">
      <c r="A71" s="9"/>
      <c r="B71" s="10">
        <v>90001</v>
      </c>
      <c r="C71" s="11"/>
      <c r="D71" s="12" t="s">
        <v>85</v>
      </c>
      <c r="E71" s="13">
        <f>E72</f>
        <v>160000</v>
      </c>
      <c r="F71" s="13">
        <f>F72</f>
        <v>0</v>
      </c>
      <c r="G71" s="13">
        <f>G72</f>
        <v>0</v>
      </c>
      <c r="H71" s="13">
        <f>H72</f>
        <v>160000</v>
      </c>
    </row>
    <row r="72" spans="1:8" ht="47.25">
      <c r="A72" s="9"/>
      <c r="B72" s="10"/>
      <c r="C72" s="11">
        <v>6230</v>
      </c>
      <c r="D72" s="12" t="s">
        <v>168</v>
      </c>
      <c r="E72" s="13">
        <f>180000-20000</f>
        <v>160000</v>
      </c>
      <c r="F72" s="13"/>
      <c r="G72" s="13"/>
      <c r="H72" s="13">
        <f>E72+F72-G72</f>
        <v>160000</v>
      </c>
    </row>
    <row r="73" spans="1:8" ht="15.75">
      <c r="A73" s="9"/>
      <c r="B73" s="10">
        <v>90005</v>
      </c>
      <c r="C73" s="11"/>
      <c r="D73" s="12" t="s">
        <v>87</v>
      </c>
      <c r="E73" s="13">
        <f>E74</f>
        <v>345000</v>
      </c>
      <c r="F73" s="13">
        <f>F74</f>
        <v>0</v>
      </c>
      <c r="G73" s="13">
        <f>G74</f>
        <v>0</v>
      </c>
      <c r="H73" s="13">
        <f>H74</f>
        <v>345000</v>
      </c>
    </row>
    <row r="74" spans="1:8" ht="47.25">
      <c r="A74" s="9"/>
      <c r="B74" s="10"/>
      <c r="C74" s="11">
        <v>6230</v>
      </c>
      <c r="D74" s="12" t="s">
        <v>168</v>
      </c>
      <c r="E74" s="13">
        <f>400000-180000+56000+69000</f>
        <v>345000</v>
      </c>
      <c r="F74" s="13"/>
      <c r="G74" s="13"/>
      <c r="H74" s="13">
        <f>E74+F74-G74</f>
        <v>345000</v>
      </c>
    </row>
    <row r="75" spans="1:8" ht="15.75">
      <c r="A75" s="9"/>
      <c r="B75" s="10">
        <v>90015</v>
      </c>
      <c r="C75" s="11"/>
      <c r="D75" s="12" t="s">
        <v>172</v>
      </c>
      <c r="E75" s="13">
        <f>SUM(E76:E77)</f>
        <v>2343680</v>
      </c>
      <c r="F75" s="13">
        <f>SUM(F76:F77)</f>
        <v>0</v>
      </c>
      <c r="G75" s="13">
        <f>SUM(G76:G77)</f>
        <v>816112.34</v>
      </c>
      <c r="H75" s="13">
        <f>SUM(H76:H77)</f>
        <v>1527567.6600000001</v>
      </c>
    </row>
    <row r="76" spans="1:8" ht="15.75">
      <c r="A76" s="9"/>
      <c r="B76" s="10"/>
      <c r="C76" s="11">
        <v>6050</v>
      </c>
      <c r="D76" s="12" t="s">
        <v>98</v>
      </c>
      <c r="E76" s="13">
        <v>1000000</v>
      </c>
      <c r="F76" s="13"/>
      <c r="G76" s="13"/>
      <c r="H76" s="13">
        <f>E76+F76-G76</f>
        <v>1000000</v>
      </c>
    </row>
    <row r="77" spans="1:8" ht="47.25">
      <c r="A77" s="9"/>
      <c r="B77" s="10"/>
      <c r="C77" s="11">
        <v>6370</v>
      </c>
      <c r="D77" s="12" t="s">
        <v>215</v>
      </c>
      <c r="E77" s="13">
        <v>1343680</v>
      </c>
      <c r="F77" s="13"/>
      <c r="G77" s="13">
        <v>816112.34</v>
      </c>
      <c r="H77" s="13">
        <f>E77+F77-G77</f>
        <v>527567.66</v>
      </c>
    </row>
    <row r="78" spans="1:8" ht="15.75">
      <c r="A78" s="9"/>
      <c r="B78" s="10">
        <v>90095</v>
      </c>
      <c r="C78" s="11"/>
      <c r="D78" s="12" t="s">
        <v>8</v>
      </c>
      <c r="E78" s="13">
        <f>SUM(E79:E80)</f>
        <v>775319</v>
      </c>
      <c r="F78" s="13">
        <f>SUM(F79:F80)</f>
        <v>0</v>
      </c>
      <c r="G78" s="13">
        <f>SUM(G79:G80)</f>
        <v>0</v>
      </c>
      <c r="H78" s="13">
        <f>SUM(H79:H80)</f>
        <v>775319</v>
      </c>
    </row>
    <row r="79" spans="1:8" ht="15.75">
      <c r="A79" s="9"/>
      <c r="B79" s="10"/>
      <c r="C79" s="70">
        <v>6010</v>
      </c>
      <c r="D79" s="71" t="s">
        <v>399</v>
      </c>
      <c r="E79" s="13">
        <v>600000</v>
      </c>
      <c r="F79" s="13"/>
      <c r="G79" s="13"/>
      <c r="H79" s="13">
        <f>E79+F79-G79</f>
        <v>600000</v>
      </c>
    </row>
    <row r="80" spans="1:8" ht="15.75">
      <c r="A80" s="9"/>
      <c r="B80" s="10"/>
      <c r="C80" s="11">
        <v>6050</v>
      </c>
      <c r="D80" s="12" t="s">
        <v>98</v>
      </c>
      <c r="E80" s="13">
        <v>175319</v>
      </c>
      <c r="F80" s="13"/>
      <c r="G80" s="13"/>
      <c r="H80" s="13">
        <f>E80+F80-G80</f>
        <v>175319</v>
      </c>
    </row>
    <row r="81" spans="1:8" ht="15.75">
      <c r="A81" s="9">
        <v>921</v>
      </c>
      <c r="B81" s="10"/>
      <c r="C81" s="11"/>
      <c r="D81" s="12" t="s">
        <v>175</v>
      </c>
      <c r="E81" s="13">
        <f>E82+E85</f>
        <v>3050000.65</v>
      </c>
      <c r="F81" s="13">
        <f>F82+F85</f>
        <v>118000</v>
      </c>
      <c r="G81" s="13">
        <f>G82+G85</f>
        <v>978000</v>
      </c>
      <c r="H81" s="13">
        <f>H82+H85</f>
        <v>2190000.65</v>
      </c>
    </row>
    <row r="82" spans="1:8" ht="15.75">
      <c r="A82" s="9"/>
      <c r="B82" s="10">
        <v>92109</v>
      </c>
      <c r="C82" s="11"/>
      <c r="D82" s="12" t="s">
        <v>177</v>
      </c>
      <c r="E82" s="13">
        <f>SUM(E83:E84)</f>
        <v>1240000.6499999999</v>
      </c>
      <c r="F82" s="13">
        <f>SUM(F83:F84)</f>
        <v>0</v>
      </c>
      <c r="G82" s="13">
        <f>SUM(G83:G84)</f>
        <v>0</v>
      </c>
      <c r="H82" s="13">
        <f>SUM(H83:H84)</f>
        <v>1240000.6499999999</v>
      </c>
    </row>
    <row r="83" spans="1:8" ht="15.75">
      <c r="A83" s="9"/>
      <c r="B83" s="10"/>
      <c r="C83" s="11">
        <v>6050</v>
      </c>
      <c r="D83" s="12" t="s">
        <v>98</v>
      </c>
      <c r="E83" s="13">
        <f>200000+630000-130000-460000</f>
        <v>240000</v>
      </c>
      <c r="F83" s="13"/>
      <c r="G83" s="13"/>
      <c r="H83" s="13">
        <f>E83+F83-G83</f>
        <v>240000</v>
      </c>
    </row>
    <row r="84" spans="1:8" ht="47.25">
      <c r="A84" s="9"/>
      <c r="B84" s="10"/>
      <c r="C84" s="87">
        <v>6370</v>
      </c>
      <c r="D84" s="88" t="s">
        <v>215</v>
      </c>
      <c r="E84" s="13">
        <f>1000000+0.65</f>
        <v>1000000.65</v>
      </c>
      <c r="F84" s="13"/>
      <c r="G84" s="13"/>
      <c r="H84" s="13">
        <f>E84+F84-G84</f>
        <v>1000000.65</v>
      </c>
    </row>
    <row r="85" spans="1:8" ht="15.75">
      <c r="A85" s="9"/>
      <c r="B85" s="10">
        <v>92120</v>
      </c>
      <c r="C85" s="11"/>
      <c r="D85" s="12" t="s">
        <v>180</v>
      </c>
      <c r="E85" s="13">
        <f>SUM(E86:E88)</f>
        <v>1810000</v>
      </c>
      <c r="F85" s="13">
        <f>SUM(F86:F88)</f>
        <v>118000</v>
      </c>
      <c r="G85" s="13">
        <f>SUM(G86:G88)</f>
        <v>978000</v>
      </c>
      <c r="H85" s="13">
        <f>SUM(H86:H88)</f>
        <v>950000</v>
      </c>
    </row>
    <row r="86" spans="1:8" ht="15.75">
      <c r="A86" s="9"/>
      <c r="B86" s="10"/>
      <c r="C86" s="11">
        <v>6050</v>
      </c>
      <c r="D86" s="12" t="s">
        <v>98</v>
      </c>
      <c r="E86" s="13">
        <f>100000+100000+750000</f>
        <v>950000</v>
      </c>
      <c r="F86" s="13"/>
      <c r="G86" s="13">
        <v>118000</v>
      </c>
      <c r="H86" s="13">
        <f>E86+F86-G86</f>
        <v>832000</v>
      </c>
    </row>
    <row r="87" spans="1:8" ht="47.25">
      <c r="A87" s="9"/>
      <c r="B87" s="10"/>
      <c r="C87" s="87">
        <v>6370</v>
      </c>
      <c r="D87" s="88" t="s">
        <v>215</v>
      </c>
      <c r="E87" s="13">
        <f>3000000-3000000</f>
        <v>0</v>
      </c>
      <c r="F87" s="13">
        <v>118000</v>
      </c>
      <c r="G87" s="13"/>
      <c r="H87" s="13">
        <f>E87+F87-G87</f>
        <v>118000</v>
      </c>
    </row>
    <row r="88" spans="1:8" ht="63">
      <c r="A88" s="9"/>
      <c r="B88" s="10"/>
      <c r="C88" s="87">
        <v>6570</v>
      </c>
      <c r="D88" s="88" t="s">
        <v>218</v>
      </c>
      <c r="E88" s="13">
        <f>842800+7200+10000</f>
        <v>860000</v>
      </c>
      <c r="F88" s="13"/>
      <c r="G88" s="13">
        <v>860000</v>
      </c>
      <c r="H88" s="13">
        <f>E88+F88-G88</f>
        <v>0</v>
      </c>
    </row>
    <row r="89" spans="1:8" ht="15.75">
      <c r="A89" s="9">
        <v>926</v>
      </c>
      <c r="B89" s="10"/>
      <c r="C89" s="11"/>
      <c r="D89" s="12" t="s">
        <v>89</v>
      </c>
      <c r="E89" s="13">
        <f>E90+E94+E92</f>
        <v>2257000</v>
      </c>
      <c r="F89" s="13">
        <f>F90+F94+F92</f>
        <v>0</v>
      </c>
      <c r="G89" s="13">
        <f>G90+G94+G92</f>
        <v>85000</v>
      </c>
      <c r="H89" s="13">
        <f>H90+H94+H92</f>
        <v>2172000</v>
      </c>
    </row>
    <row r="90" spans="1:8" ht="15.75">
      <c r="A90" s="9"/>
      <c r="B90" s="10">
        <v>92601</v>
      </c>
      <c r="C90" s="11"/>
      <c r="D90" s="12" t="s">
        <v>181</v>
      </c>
      <c r="E90" s="13">
        <f>SUM(E91:E91)</f>
        <v>1070000</v>
      </c>
      <c r="F90" s="13">
        <f>SUM(F91:F91)</f>
        <v>0</v>
      </c>
      <c r="G90" s="13">
        <f>SUM(G91:G91)</f>
        <v>0</v>
      </c>
      <c r="H90" s="13">
        <f>SUM(H91:H91)</f>
        <v>1070000</v>
      </c>
    </row>
    <row r="91" spans="1:8" ht="15.75">
      <c r="A91" s="9"/>
      <c r="B91" s="10"/>
      <c r="C91" s="11">
        <v>6050</v>
      </c>
      <c r="D91" s="12" t="s">
        <v>98</v>
      </c>
      <c r="E91" s="13">
        <f>2071000-600000+250000+349000-300000+100000-710000-90000</f>
        <v>1070000</v>
      </c>
      <c r="F91" s="13"/>
      <c r="G91" s="13"/>
      <c r="H91" s="13">
        <f>E91+F91-G91</f>
        <v>1070000</v>
      </c>
    </row>
    <row r="92" spans="1:8" ht="15.75">
      <c r="A92" s="9"/>
      <c r="B92" s="10">
        <v>92604</v>
      </c>
      <c r="C92" s="11"/>
      <c r="D92" s="12" t="s">
        <v>90</v>
      </c>
      <c r="E92" s="13">
        <f>SUM(E93)</f>
        <v>229000</v>
      </c>
      <c r="F92" s="13">
        <f>SUM(F93)</f>
        <v>0</v>
      </c>
      <c r="G92" s="13">
        <f>SUM(G93)</f>
        <v>0</v>
      </c>
      <c r="H92" s="13">
        <f>SUM(H93)</f>
        <v>229000</v>
      </c>
    </row>
    <row r="93" spans="1:8" ht="15.75">
      <c r="A93" s="9"/>
      <c r="B93" s="10"/>
      <c r="C93" s="11">
        <v>6050</v>
      </c>
      <c r="D93" s="12" t="s">
        <v>98</v>
      </c>
      <c r="E93" s="13">
        <f>580000+249000-600000</f>
        <v>229000</v>
      </c>
      <c r="F93" s="13"/>
      <c r="G93" s="13"/>
      <c r="H93" s="13">
        <f>E93+F93-G93</f>
        <v>229000</v>
      </c>
    </row>
    <row r="94" spans="1:8" ht="15.75">
      <c r="A94" s="9"/>
      <c r="B94" s="10">
        <v>92695</v>
      </c>
      <c r="C94" s="11"/>
      <c r="D94" s="12" t="s">
        <v>8</v>
      </c>
      <c r="E94" s="13">
        <f>E95</f>
        <v>958000</v>
      </c>
      <c r="F94" s="13">
        <f>F95</f>
        <v>0</v>
      </c>
      <c r="G94" s="13">
        <f>G95</f>
        <v>85000</v>
      </c>
      <c r="H94" s="13">
        <f>H95</f>
        <v>873000</v>
      </c>
    </row>
    <row r="95" spans="1:8" ht="15.75">
      <c r="A95" s="9"/>
      <c r="B95" s="10"/>
      <c r="C95" s="11">
        <v>6050</v>
      </c>
      <c r="D95" s="12" t="s">
        <v>98</v>
      </c>
      <c r="E95" s="13">
        <f>1370000-425000-120000+383000-250000</f>
        <v>958000</v>
      </c>
      <c r="F95" s="13"/>
      <c r="G95" s="13">
        <v>85000</v>
      </c>
      <c r="H95" s="13">
        <f>E95+F95-G95</f>
        <v>873000</v>
      </c>
    </row>
    <row r="96" spans="1:8" ht="18.75">
      <c r="A96" s="80"/>
      <c r="B96" s="81"/>
      <c r="C96" s="82"/>
      <c r="D96" s="92" t="s">
        <v>91</v>
      </c>
      <c r="E96" s="93">
        <f>+E6+E23+E31+E34+E41+E50+E70+E81+E89+E13+E64+E61</f>
        <v>76455507.670000002</v>
      </c>
      <c r="F96" s="93">
        <f>+F6+F23+F31+F34+F41+F50+F70+F81+F89+F13+F64+F61</f>
        <v>151217.37</v>
      </c>
      <c r="G96" s="93">
        <f>+G6+G23+G31+G34+G41+G50+G70+G81+G89+G13+G64+G61</f>
        <v>3896651.71</v>
      </c>
      <c r="H96" s="93">
        <f>+H6+H23+H31+H34+H41+H50+H70+H81+H89+H13+H64+H61</f>
        <v>72710073.329999998</v>
      </c>
    </row>
    <row r="98" spans="6:8">
      <c r="F98" s="23">
        <f>F96-G96</f>
        <v>-3745434.34</v>
      </c>
    </row>
    <row r="99" spans="6:8">
      <c r="F99" s="23"/>
      <c r="H99" s="23"/>
    </row>
  </sheetData>
  <mergeCells count="1">
    <mergeCell ref="A1:H1"/>
  </mergeCells>
  <conditionalFormatting sqref="A6:H79">
    <cfRule type="expression" dxfId="251" priority="1" stopIfTrue="1">
      <formula>$D6 = "OGÓŁEM:"</formula>
    </cfRule>
    <cfRule type="expression" dxfId="250" priority="2" stopIfTrue="1">
      <formula>LEN($A6)&gt;1</formula>
    </cfRule>
    <cfRule type="expression" dxfId="249" priority="3" stopIfTrue="1">
      <formula>LEN($B6)&gt;1</formula>
    </cfRule>
  </conditionalFormatting>
  <conditionalFormatting sqref="F80:H96 A80:E481">
    <cfRule type="expression" dxfId="248" priority="31" stopIfTrue="1">
      <formula>$D80 = "OGÓŁEM:"</formula>
    </cfRule>
    <cfRule type="expression" dxfId="247" priority="32" stopIfTrue="1">
      <formula>LEN($A80)&gt;1</formula>
    </cfRule>
    <cfRule type="expression" dxfId="246" priority="33" stopIfTrue="1">
      <formula>LEN($B80)&gt;1</formula>
    </cfRule>
  </conditionalFormatting>
  <pageMargins left="0.11811023622047245" right="0.11811023622047245" top="0.98425196850393704" bottom="0.55118110236220474" header="0.31496062992125984" footer="0.31496062992125984"/>
  <pageSetup paperSize="9" scale="68" orientation="portrait" r:id="rId1"/>
  <headerFooter>
    <oddHeader xml:space="preserve">&amp;RZałącznik Nr 2b
do Uchwały Nr XII/.../2024 
Rady Gminy Komorniki z dnia 28 listopada 2024r.    
w sprawie uchwały budżetowej na 2024r.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0B0A-AE50-4D15-8203-6537DDA4B7DA}">
  <dimension ref="A2:H226"/>
  <sheetViews>
    <sheetView topLeftCell="A4" workbookViewId="0">
      <selection activeCell="H15" sqref="H15"/>
    </sheetView>
  </sheetViews>
  <sheetFormatPr defaultRowHeight="12.75"/>
  <cols>
    <col min="1" max="1" width="4.5703125" style="102" customWidth="1"/>
    <col min="2" max="3" width="6.5703125" style="102" customWidth="1"/>
    <col min="4" max="4" width="52.7109375" style="102" customWidth="1"/>
    <col min="5" max="5" width="20" style="102" customWidth="1"/>
    <col min="6" max="6" width="15.140625" style="102" customWidth="1"/>
    <col min="7" max="7" width="13" style="102" customWidth="1"/>
    <col min="8" max="8" width="12.7109375" style="102" customWidth="1"/>
    <col min="9" max="257" width="9.140625" style="102"/>
    <col min="258" max="258" width="47.85546875" style="102" customWidth="1"/>
    <col min="259" max="259" width="37" style="102" customWidth="1"/>
    <col min="260" max="260" width="25.140625" style="102" customWidth="1"/>
    <col min="261" max="261" width="23.5703125" style="102" customWidth="1"/>
    <col min="262" max="262" width="26" style="102" customWidth="1"/>
    <col min="263" max="513" width="9.140625" style="102"/>
    <col min="514" max="514" width="47.85546875" style="102" customWidth="1"/>
    <col min="515" max="515" width="37" style="102" customWidth="1"/>
    <col min="516" max="516" width="25.140625" style="102" customWidth="1"/>
    <col min="517" max="517" width="23.5703125" style="102" customWidth="1"/>
    <col min="518" max="518" width="26" style="102" customWidth="1"/>
    <col min="519" max="769" width="9.140625" style="102"/>
    <col min="770" max="770" width="47.85546875" style="102" customWidth="1"/>
    <col min="771" max="771" width="37" style="102" customWidth="1"/>
    <col min="772" max="772" width="25.140625" style="102" customWidth="1"/>
    <col min="773" max="773" width="23.5703125" style="102" customWidth="1"/>
    <col min="774" max="774" width="26" style="102" customWidth="1"/>
    <col min="775" max="1025" width="9.140625" style="102"/>
    <col min="1026" max="1026" width="47.85546875" style="102" customWidth="1"/>
    <col min="1027" max="1027" width="37" style="102" customWidth="1"/>
    <col min="1028" max="1028" width="25.140625" style="102" customWidth="1"/>
    <col min="1029" max="1029" width="23.5703125" style="102" customWidth="1"/>
    <col min="1030" max="1030" width="26" style="102" customWidth="1"/>
    <col min="1031" max="1281" width="9.140625" style="102"/>
    <col min="1282" max="1282" width="47.85546875" style="102" customWidth="1"/>
    <col min="1283" max="1283" width="37" style="102" customWidth="1"/>
    <col min="1284" max="1284" width="25.140625" style="102" customWidth="1"/>
    <col min="1285" max="1285" width="23.5703125" style="102" customWidth="1"/>
    <col min="1286" max="1286" width="26" style="102" customWidth="1"/>
    <col min="1287" max="1537" width="9.140625" style="102"/>
    <col min="1538" max="1538" width="47.85546875" style="102" customWidth="1"/>
    <col min="1539" max="1539" width="37" style="102" customWidth="1"/>
    <col min="1540" max="1540" width="25.140625" style="102" customWidth="1"/>
    <col min="1541" max="1541" width="23.5703125" style="102" customWidth="1"/>
    <col min="1542" max="1542" width="26" style="102" customWidth="1"/>
    <col min="1543" max="1793" width="9.140625" style="102"/>
    <col min="1794" max="1794" width="47.85546875" style="102" customWidth="1"/>
    <col min="1795" max="1795" width="37" style="102" customWidth="1"/>
    <col min="1796" max="1796" width="25.140625" style="102" customWidth="1"/>
    <col min="1797" max="1797" width="23.5703125" style="102" customWidth="1"/>
    <col min="1798" max="1798" width="26" style="102" customWidth="1"/>
    <col min="1799" max="2049" width="9.140625" style="102"/>
    <col min="2050" max="2050" width="47.85546875" style="102" customWidth="1"/>
    <col min="2051" max="2051" width="37" style="102" customWidth="1"/>
    <col min="2052" max="2052" width="25.140625" style="102" customWidth="1"/>
    <col min="2053" max="2053" width="23.5703125" style="102" customWidth="1"/>
    <col min="2054" max="2054" width="26" style="102" customWidth="1"/>
    <col min="2055" max="2305" width="9.140625" style="102"/>
    <col min="2306" max="2306" width="47.85546875" style="102" customWidth="1"/>
    <col min="2307" max="2307" width="37" style="102" customWidth="1"/>
    <col min="2308" max="2308" width="25.140625" style="102" customWidth="1"/>
    <col min="2309" max="2309" width="23.5703125" style="102" customWidth="1"/>
    <col min="2310" max="2310" width="26" style="102" customWidth="1"/>
    <col min="2311" max="2561" width="9.140625" style="102"/>
    <col min="2562" max="2562" width="47.85546875" style="102" customWidth="1"/>
    <col min="2563" max="2563" width="37" style="102" customWidth="1"/>
    <col min="2564" max="2564" width="25.140625" style="102" customWidth="1"/>
    <col min="2565" max="2565" width="23.5703125" style="102" customWidth="1"/>
    <col min="2566" max="2566" width="26" style="102" customWidth="1"/>
    <col min="2567" max="2817" width="9.140625" style="102"/>
    <col min="2818" max="2818" width="47.85546875" style="102" customWidth="1"/>
    <col min="2819" max="2819" width="37" style="102" customWidth="1"/>
    <col min="2820" max="2820" width="25.140625" style="102" customWidth="1"/>
    <col min="2821" max="2821" width="23.5703125" style="102" customWidth="1"/>
    <col min="2822" max="2822" width="26" style="102" customWidth="1"/>
    <col min="2823" max="3073" width="9.140625" style="102"/>
    <col min="3074" max="3074" width="47.85546875" style="102" customWidth="1"/>
    <col min="3075" max="3075" width="37" style="102" customWidth="1"/>
    <col min="3076" max="3076" width="25.140625" style="102" customWidth="1"/>
    <col min="3077" max="3077" width="23.5703125" style="102" customWidth="1"/>
    <col min="3078" max="3078" width="26" style="102" customWidth="1"/>
    <col min="3079" max="3329" width="9.140625" style="102"/>
    <col min="3330" max="3330" width="47.85546875" style="102" customWidth="1"/>
    <col min="3331" max="3331" width="37" style="102" customWidth="1"/>
    <col min="3332" max="3332" width="25.140625" style="102" customWidth="1"/>
    <col min="3333" max="3333" width="23.5703125" style="102" customWidth="1"/>
    <col min="3334" max="3334" width="26" style="102" customWidth="1"/>
    <col min="3335" max="3585" width="9.140625" style="102"/>
    <col min="3586" max="3586" width="47.85546875" style="102" customWidth="1"/>
    <col min="3587" max="3587" width="37" style="102" customWidth="1"/>
    <col min="3588" max="3588" width="25.140625" style="102" customWidth="1"/>
    <col min="3589" max="3589" width="23.5703125" style="102" customWidth="1"/>
    <col min="3590" max="3590" width="26" style="102" customWidth="1"/>
    <col min="3591" max="3841" width="9.140625" style="102"/>
    <col min="3842" max="3842" width="47.85546875" style="102" customWidth="1"/>
    <col min="3843" max="3843" width="37" style="102" customWidth="1"/>
    <col min="3844" max="3844" width="25.140625" style="102" customWidth="1"/>
    <col min="3845" max="3845" width="23.5703125" style="102" customWidth="1"/>
    <col min="3846" max="3846" width="26" style="102" customWidth="1"/>
    <col min="3847" max="4097" width="9.140625" style="102"/>
    <col min="4098" max="4098" width="47.85546875" style="102" customWidth="1"/>
    <col min="4099" max="4099" width="37" style="102" customWidth="1"/>
    <col min="4100" max="4100" width="25.140625" style="102" customWidth="1"/>
    <col min="4101" max="4101" width="23.5703125" style="102" customWidth="1"/>
    <col min="4102" max="4102" width="26" style="102" customWidth="1"/>
    <col min="4103" max="4353" width="9.140625" style="102"/>
    <col min="4354" max="4354" width="47.85546875" style="102" customWidth="1"/>
    <col min="4355" max="4355" width="37" style="102" customWidth="1"/>
    <col min="4356" max="4356" width="25.140625" style="102" customWidth="1"/>
    <col min="4357" max="4357" width="23.5703125" style="102" customWidth="1"/>
    <col min="4358" max="4358" width="26" style="102" customWidth="1"/>
    <col min="4359" max="4609" width="9.140625" style="102"/>
    <col min="4610" max="4610" width="47.85546875" style="102" customWidth="1"/>
    <col min="4611" max="4611" width="37" style="102" customWidth="1"/>
    <col min="4612" max="4612" width="25.140625" style="102" customWidth="1"/>
    <col min="4613" max="4613" width="23.5703125" style="102" customWidth="1"/>
    <col min="4614" max="4614" width="26" style="102" customWidth="1"/>
    <col min="4615" max="4865" width="9.140625" style="102"/>
    <col min="4866" max="4866" width="47.85546875" style="102" customWidth="1"/>
    <col min="4867" max="4867" width="37" style="102" customWidth="1"/>
    <col min="4868" max="4868" width="25.140625" style="102" customWidth="1"/>
    <col min="4869" max="4869" width="23.5703125" style="102" customWidth="1"/>
    <col min="4870" max="4870" width="26" style="102" customWidth="1"/>
    <col min="4871" max="5121" width="9.140625" style="102"/>
    <col min="5122" max="5122" width="47.85546875" style="102" customWidth="1"/>
    <col min="5123" max="5123" width="37" style="102" customWidth="1"/>
    <col min="5124" max="5124" width="25.140625" style="102" customWidth="1"/>
    <col min="5125" max="5125" width="23.5703125" style="102" customWidth="1"/>
    <col min="5126" max="5126" width="26" style="102" customWidth="1"/>
    <col min="5127" max="5377" width="9.140625" style="102"/>
    <col min="5378" max="5378" width="47.85546875" style="102" customWidth="1"/>
    <col min="5379" max="5379" width="37" style="102" customWidth="1"/>
    <col min="5380" max="5380" width="25.140625" style="102" customWidth="1"/>
    <col min="5381" max="5381" width="23.5703125" style="102" customWidth="1"/>
    <col min="5382" max="5382" width="26" style="102" customWidth="1"/>
    <col min="5383" max="5633" width="9.140625" style="102"/>
    <col min="5634" max="5634" width="47.85546875" style="102" customWidth="1"/>
    <col min="5635" max="5635" width="37" style="102" customWidth="1"/>
    <col min="5636" max="5636" width="25.140625" style="102" customWidth="1"/>
    <col min="5637" max="5637" width="23.5703125" style="102" customWidth="1"/>
    <col min="5638" max="5638" width="26" style="102" customWidth="1"/>
    <col min="5639" max="5889" width="9.140625" style="102"/>
    <col min="5890" max="5890" width="47.85546875" style="102" customWidth="1"/>
    <col min="5891" max="5891" width="37" style="102" customWidth="1"/>
    <col min="5892" max="5892" width="25.140625" style="102" customWidth="1"/>
    <col min="5893" max="5893" width="23.5703125" style="102" customWidth="1"/>
    <col min="5894" max="5894" width="26" style="102" customWidth="1"/>
    <col min="5895" max="6145" width="9.140625" style="102"/>
    <col min="6146" max="6146" width="47.85546875" style="102" customWidth="1"/>
    <col min="6147" max="6147" width="37" style="102" customWidth="1"/>
    <col min="6148" max="6148" width="25.140625" style="102" customWidth="1"/>
    <col min="6149" max="6149" width="23.5703125" style="102" customWidth="1"/>
    <col min="6150" max="6150" width="26" style="102" customWidth="1"/>
    <col min="6151" max="6401" width="9.140625" style="102"/>
    <col min="6402" max="6402" width="47.85546875" style="102" customWidth="1"/>
    <col min="6403" max="6403" width="37" style="102" customWidth="1"/>
    <col min="6404" max="6404" width="25.140625" style="102" customWidth="1"/>
    <col min="6405" max="6405" width="23.5703125" style="102" customWidth="1"/>
    <col min="6406" max="6406" width="26" style="102" customWidth="1"/>
    <col min="6407" max="6657" width="9.140625" style="102"/>
    <col min="6658" max="6658" width="47.85546875" style="102" customWidth="1"/>
    <col min="6659" max="6659" width="37" style="102" customWidth="1"/>
    <col min="6660" max="6660" width="25.140625" style="102" customWidth="1"/>
    <col min="6661" max="6661" width="23.5703125" style="102" customWidth="1"/>
    <col min="6662" max="6662" width="26" style="102" customWidth="1"/>
    <col min="6663" max="6913" width="9.140625" style="102"/>
    <col min="6914" max="6914" width="47.85546875" style="102" customWidth="1"/>
    <col min="6915" max="6915" width="37" style="102" customWidth="1"/>
    <col min="6916" max="6916" width="25.140625" style="102" customWidth="1"/>
    <col min="6917" max="6917" width="23.5703125" style="102" customWidth="1"/>
    <col min="6918" max="6918" width="26" style="102" customWidth="1"/>
    <col min="6919" max="7169" width="9.140625" style="102"/>
    <col min="7170" max="7170" width="47.85546875" style="102" customWidth="1"/>
    <col min="7171" max="7171" width="37" style="102" customWidth="1"/>
    <col min="7172" max="7172" width="25.140625" style="102" customWidth="1"/>
    <col min="7173" max="7173" width="23.5703125" style="102" customWidth="1"/>
    <col min="7174" max="7174" width="26" style="102" customWidth="1"/>
    <col min="7175" max="7425" width="9.140625" style="102"/>
    <col min="7426" max="7426" width="47.85546875" style="102" customWidth="1"/>
    <col min="7427" max="7427" width="37" style="102" customWidth="1"/>
    <col min="7428" max="7428" width="25.140625" style="102" customWidth="1"/>
    <col min="7429" max="7429" width="23.5703125" style="102" customWidth="1"/>
    <col min="7430" max="7430" width="26" style="102" customWidth="1"/>
    <col min="7431" max="7681" width="9.140625" style="102"/>
    <col min="7682" max="7682" width="47.85546875" style="102" customWidth="1"/>
    <col min="7683" max="7683" width="37" style="102" customWidth="1"/>
    <col min="7684" max="7684" width="25.140625" style="102" customWidth="1"/>
    <col min="7685" max="7685" width="23.5703125" style="102" customWidth="1"/>
    <col min="7686" max="7686" width="26" style="102" customWidth="1"/>
    <col min="7687" max="7937" width="9.140625" style="102"/>
    <col min="7938" max="7938" width="47.85546875" style="102" customWidth="1"/>
    <col min="7939" max="7939" width="37" style="102" customWidth="1"/>
    <col min="7940" max="7940" width="25.140625" style="102" customWidth="1"/>
    <col min="7941" max="7941" width="23.5703125" style="102" customWidth="1"/>
    <col min="7942" max="7942" width="26" style="102" customWidth="1"/>
    <col min="7943" max="8193" width="9.140625" style="102"/>
    <col min="8194" max="8194" width="47.85546875" style="102" customWidth="1"/>
    <col min="8195" max="8195" width="37" style="102" customWidth="1"/>
    <col min="8196" max="8196" width="25.140625" style="102" customWidth="1"/>
    <col min="8197" max="8197" width="23.5703125" style="102" customWidth="1"/>
    <col min="8198" max="8198" width="26" style="102" customWidth="1"/>
    <col min="8199" max="8449" width="9.140625" style="102"/>
    <col min="8450" max="8450" width="47.85546875" style="102" customWidth="1"/>
    <col min="8451" max="8451" width="37" style="102" customWidth="1"/>
    <col min="8452" max="8452" width="25.140625" style="102" customWidth="1"/>
    <col min="8453" max="8453" width="23.5703125" style="102" customWidth="1"/>
    <col min="8454" max="8454" width="26" style="102" customWidth="1"/>
    <col min="8455" max="8705" width="9.140625" style="102"/>
    <col min="8706" max="8706" width="47.85546875" style="102" customWidth="1"/>
    <col min="8707" max="8707" width="37" style="102" customWidth="1"/>
    <col min="8708" max="8708" width="25.140625" style="102" customWidth="1"/>
    <col min="8709" max="8709" width="23.5703125" style="102" customWidth="1"/>
    <col min="8710" max="8710" width="26" style="102" customWidth="1"/>
    <col min="8711" max="8961" width="9.140625" style="102"/>
    <col min="8962" max="8962" width="47.85546875" style="102" customWidth="1"/>
    <col min="8963" max="8963" width="37" style="102" customWidth="1"/>
    <col min="8964" max="8964" width="25.140625" style="102" customWidth="1"/>
    <col min="8965" max="8965" width="23.5703125" style="102" customWidth="1"/>
    <col min="8966" max="8966" width="26" style="102" customWidth="1"/>
    <col min="8967" max="9217" width="9.140625" style="102"/>
    <col min="9218" max="9218" width="47.85546875" style="102" customWidth="1"/>
    <col min="9219" max="9219" width="37" style="102" customWidth="1"/>
    <col min="9220" max="9220" width="25.140625" style="102" customWidth="1"/>
    <col min="9221" max="9221" width="23.5703125" style="102" customWidth="1"/>
    <col min="9222" max="9222" width="26" style="102" customWidth="1"/>
    <col min="9223" max="9473" width="9.140625" style="102"/>
    <col min="9474" max="9474" width="47.85546875" style="102" customWidth="1"/>
    <col min="9475" max="9475" width="37" style="102" customWidth="1"/>
    <col min="9476" max="9476" width="25.140625" style="102" customWidth="1"/>
    <col min="9477" max="9477" width="23.5703125" style="102" customWidth="1"/>
    <col min="9478" max="9478" width="26" style="102" customWidth="1"/>
    <col min="9479" max="9729" width="9.140625" style="102"/>
    <col min="9730" max="9730" width="47.85546875" style="102" customWidth="1"/>
    <col min="9731" max="9731" width="37" style="102" customWidth="1"/>
    <col min="9732" max="9732" width="25.140625" style="102" customWidth="1"/>
    <col min="9733" max="9733" width="23.5703125" style="102" customWidth="1"/>
    <col min="9734" max="9734" width="26" style="102" customWidth="1"/>
    <col min="9735" max="9985" width="9.140625" style="102"/>
    <col min="9986" max="9986" width="47.85546875" style="102" customWidth="1"/>
    <col min="9987" max="9987" width="37" style="102" customWidth="1"/>
    <col min="9988" max="9988" width="25.140625" style="102" customWidth="1"/>
    <col min="9989" max="9989" width="23.5703125" style="102" customWidth="1"/>
    <col min="9990" max="9990" width="26" style="102" customWidth="1"/>
    <col min="9991" max="10241" width="9.140625" style="102"/>
    <col min="10242" max="10242" width="47.85546875" style="102" customWidth="1"/>
    <col min="10243" max="10243" width="37" style="102" customWidth="1"/>
    <col min="10244" max="10244" width="25.140625" style="102" customWidth="1"/>
    <col min="10245" max="10245" width="23.5703125" style="102" customWidth="1"/>
    <col min="10246" max="10246" width="26" style="102" customWidth="1"/>
    <col min="10247" max="10497" width="9.140625" style="102"/>
    <col min="10498" max="10498" width="47.85546875" style="102" customWidth="1"/>
    <col min="10499" max="10499" width="37" style="102" customWidth="1"/>
    <col min="10500" max="10500" width="25.140625" style="102" customWidth="1"/>
    <col min="10501" max="10501" width="23.5703125" style="102" customWidth="1"/>
    <col min="10502" max="10502" width="26" style="102" customWidth="1"/>
    <col min="10503" max="10753" width="9.140625" style="102"/>
    <col min="10754" max="10754" width="47.85546875" style="102" customWidth="1"/>
    <col min="10755" max="10755" width="37" style="102" customWidth="1"/>
    <col min="10756" max="10756" width="25.140625" style="102" customWidth="1"/>
    <col min="10757" max="10757" width="23.5703125" style="102" customWidth="1"/>
    <col min="10758" max="10758" width="26" style="102" customWidth="1"/>
    <col min="10759" max="11009" width="9.140625" style="102"/>
    <col min="11010" max="11010" width="47.85546875" style="102" customWidth="1"/>
    <col min="11011" max="11011" width="37" style="102" customWidth="1"/>
    <col min="11012" max="11012" width="25.140625" style="102" customWidth="1"/>
    <col min="11013" max="11013" width="23.5703125" style="102" customWidth="1"/>
    <col min="11014" max="11014" width="26" style="102" customWidth="1"/>
    <col min="11015" max="11265" width="9.140625" style="102"/>
    <col min="11266" max="11266" width="47.85546875" style="102" customWidth="1"/>
    <col min="11267" max="11267" width="37" style="102" customWidth="1"/>
    <col min="11268" max="11268" width="25.140625" style="102" customWidth="1"/>
    <col min="11269" max="11269" width="23.5703125" style="102" customWidth="1"/>
    <col min="11270" max="11270" width="26" style="102" customWidth="1"/>
    <col min="11271" max="11521" width="9.140625" style="102"/>
    <col min="11522" max="11522" width="47.85546875" style="102" customWidth="1"/>
    <col min="11523" max="11523" width="37" style="102" customWidth="1"/>
    <col min="11524" max="11524" width="25.140625" style="102" customWidth="1"/>
    <col min="11525" max="11525" width="23.5703125" style="102" customWidth="1"/>
    <col min="11526" max="11526" width="26" style="102" customWidth="1"/>
    <col min="11527" max="11777" width="9.140625" style="102"/>
    <col min="11778" max="11778" width="47.85546875" style="102" customWidth="1"/>
    <col min="11779" max="11779" width="37" style="102" customWidth="1"/>
    <col min="11780" max="11780" width="25.140625" style="102" customWidth="1"/>
    <col min="11781" max="11781" width="23.5703125" style="102" customWidth="1"/>
    <col min="11782" max="11782" width="26" style="102" customWidth="1"/>
    <col min="11783" max="12033" width="9.140625" style="102"/>
    <col min="12034" max="12034" width="47.85546875" style="102" customWidth="1"/>
    <col min="12035" max="12035" width="37" style="102" customWidth="1"/>
    <col min="12036" max="12036" width="25.140625" style="102" customWidth="1"/>
    <col min="12037" max="12037" width="23.5703125" style="102" customWidth="1"/>
    <col min="12038" max="12038" width="26" style="102" customWidth="1"/>
    <col min="12039" max="12289" width="9.140625" style="102"/>
    <col min="12290" max="12290" width="47.85546875" style="102" customWidth="1"/>
    <col min="12291" max="12291" width="37" style="102" customWidth="1"/>
    <col min="12292" max="12292" width="25.140625" style="102" customWidth="1"/>
    <col min="12293" max="12293" width="23.5703125" style="102" customWidth="1"/>
    <col min="12294" max="12294" width="26" style="102" customWidth="1"/>
    <col min="12295" max="12545" width="9.140625" style="102"/>
    <col min="12546" max="12546" width="47.85546875" style="102" customWidth="1"/>
    <col min="12547" max="12547" width="37" style="102" customWidth="1"/>
    <col min="12548" max="12548" width="25.140625" style="102" customWidth="1"/>
    <col min="12549" max="12549" width="23.5703125" style="102" customWidth="1"/>
    <col min="12550" max="12550" width="26" style="102" customWidth="1"/>
    <col min="12551" max="12801" width="9.140625" style="102"/>
    <col min="12802" max="12802" width="47.85546875" style="102" customWidth="1"/>
    <col min="12803" max="12803" width="37" style="102" customWidth="1"/>
    <col min="12804" max="12804" width="25.140625" style="102" customWidth="1"/>
    <col min="12805" max="12805" width="23.5703125" style="102" customWidth="1"/>
    <col min="12806" max="12806" width="26" style="102" customWidth="1"/>
    <col min="12807" max="13057" width="9.140625" style="102"/>
    <col min="13058" max="13058" width="47.85546875" style="102" customWidth="1"/>
    <col min="13059" max="13059" width="37" style="102" customWidth="1"/>
    <col min="13060" max="13060" width="25.140625" style="102" customWidth="1"/>
    <col min="13061" max="13061" width="23.5703125" style="102" customWidth="1"/>
    <col min="13062" max="13062" width="26" style="102" customWidth="1"/>
    <col min="13063" max="13313" width="9.140625" style="102"/>
    <col min="13314" max="13314" width="47.85546875" style="102" customWidth="1"/>
    <col min="13315" max="13315" width="37" style="102" customWidth="1"/>
    <col min="13316" max="13316" width="25.140625" style="102" customWidth="1"/>
    <col min="13317" max="13317" width="23.5703125" style="102" customWidth="1"/>
    <col min="13318" max="13318" width="26" style="102" customWidth="1"/>
    <col min="13319" max="13569" width="9.140625" style="102"/>
    <col min="13570" max="13570" width="47.85546875" style="102" customWidth="1"/>
    <col min="13571" max="13571" width="37" style="102" customWidth="1"/>
    <col min="13572" max="13572" width="25.140625" style="102" customWidth="1"/>
    <col min="13573" max="13573" width="23.5703125" style="102" customWidth="1"/>
    <col min="13574" max="13574" width="26" style="102" customWidth="1"/>
    <col min="13575" max="13825" width="9.140625" style="102"/>
    <col min="13826" max="13826" width="47.85546875" style="102" customWidth="1"/>
    <col min="13827" max="13827" width="37" style="102" customWidth="1"/>
    <col min="13828" max="13828" width="25.140625" style="102" customWidth="1"/>
    <col min="13829" max="13829" width="23.5703125" style="102" customWidth="1"/>
    <col min="13830" max="13830" width="26" style="102" customWidth="1"/>
    <col min="13831" max="14081" width="9.140625" style="102"/>
    <col min="14082" max="14082" width="47.85546875" style="102" customWidth="1"/>
    <col min="14083" max="14083" width="37" style="102" customWidth="1"/>
    <col min="14084" max="14084" width="25.140625" style="102" customWidth="1"/>
    <col min="14085" max="14085" width="23.5703125" style="102" customWidth="1"/>
    <col min="14086" max="14086" width="26" style="102" customWidth="1"/>
    <col min="14087" max="14337" width="9.140625" style="102"/>
    <col min="14338" max="14338" width="47.85546875" style="102" customWidth="1"/>
    <col min="14339" max="14339" width="37" style="102" customWidth="1"/>
    <col min="14340" max="14340" width="25.140625" style="102" customWidth="1"/>
    <col min="14341" max="14341" width="23.5703125" style="102" customWidth="1"/>
    <col min="14342" max="14342" width="26" style="102" customWidth="1"/>
    <col min="14343" max="14593" width="9.140625" style="102"/>
    <col min="14594" max="14594" width="47.85546875" style="102" customWidth="1"/>
    <col min="14595" max="14595" width="37" style="102" customWidth="1"/>
    <col min="14596" max="14596" width="25.140625" style="102" customWidth="1"/>
    <col min="14597" max="14597" width="23.5703125" style="102" customWidth="1"/>
    <col min="14598" max="14598" width="26" style="102" customWidth="1"/>
    <col min="14599" max="14849" width="9.140625" style="102"/>
    <col min="14850" max="14850" width="47.85546875" style="102" customWidth="1"/>
    <col min="14851" max="14851" width="37" style="102" customWidth="1"/>
    <col min="14852" max="14852" width="25.140625" style="102" customWidth="1"/>
    <col min="14853" max="14853" width="23.5703125" style="102" customWidth="1"/>
    <col min="14854" max="14854" width="26" style="102" customWidth="1"/>
    <col min="14855" max="15105" width="9.140625" style="102"/>
    <col min="15106" max="15106" width="47.85546875" style="102" customWidth="1"/>
    <col min="15107" max="15107" width="37" style="102" customWidth="1"/>
    <col min="15108" max="15108" width="25.140625" style="102" customWidth="1"/>
    <col min="15109" max="15109" width="23.5703125" style="102" customWidth="1"/>
    <col min="15110" max="15110" width="26" style="102" customWidth="1"/>
    <col min="15111" max="15361" width="9.140625" style="102"/>
    <col min="15362" max="15362" width="47.85546875" style="102" customWidth="1"/>
    <col min="15363" max="15363" width="37" style="102" customWidth="1"/>
    <col min="15364" max="15364" width="25.140625" style="102" customWidth="1"/>
    <col min="15365" max="15365" width="23.5703125" style="102" customWidth="1"/>
    <col min="15366" max="15366" width="26" style="102" customWidth="1"/>
    <col min="15367" max="15617" width="9.140625" style="102"/>
    <col min="15618" max="15618" width="47.85546875" style="102" customWidth="1"/>
    <col min="15619" max="15619" width="37" style="102" customWidth="1"/>
    <col min="15620" max="15620" width="25.140625" style="102" customWidth="1"/>
    <col min="15621" max="15621" width="23.5703125" style="102" customWidth="1"/>
    <col min="15622" max="15622" width="26" style="102" customWidth="1"/>
    <col min="15623" max="15873" width="9.140625" style="102"/>
    <col min="15874" max="15874" width="47.85546875" style="102" customWidth="1"/>
    <col min="15875" max="15875" width="37" style="102" customWidth="1"/>
    <col min="15876" max="15876" width="25.140625" style="102" customWidth="1"/>
    <col min="15877" max="15877" width="23.5703125" style="102" customWidth="1"/>
    <col min="15878" max="15878" width="26" style="102" customWidth="1"/>
    <col min="15879" max="16129" width="9.140625" style="102"/>
    <col min="16130" max="16130" width="47.85546875" style="102" customWidth="1"/>
    <col min="16131" max="16131" width="37" style="102" customWidth="1"/>
    <col min="16132" max="16132" width="25.140625" style="102" customWidth="1"/>
    <col min="16133" max="16133" width="23.5703125" style="102" customWidth="1"/>
    <col min="16134" max="16134" width="26" style="102" customWidth="1"/>
    <col min="16135" max="16384" width="9.140625" style="102"/>
  </cols>
  <sheetData>
    <row r="2" spans="1:8" ht="1.5" hidden="1" customHeight="1">
      <c r="F2" s="103" t="s">
        <v>220</v>
      </c>
      <c r="G2" s="104"/>
      <c r="H2" s="104"/>
    </row>
    <row r="3" spans="1:8" ht="1.5" hidden="1" customHeight="1">
      <c r="D3" s="105"/>
      <c r="F3" s="103"/>
      <c r="G3" s="104"/>
      <c r="H3" s="104"/>
    </row>
    <row r="4" spans="1:8" ht="18.75">
      <c r="A4" s="518" t="s">
        <v>274</v>
      </c>
      <c r="B4" s="519"/>
      <c r="C4" s="519"/>
      <c r="D4" s="519"/>
      <c r="E4" s="519"/>
      <c r="F4" s="519"/>
      <c r="G4" s="519"/>
      <c r="H4" s="519"/>
    </row>
    <row r="5" spans="1:8" ht="3.75" hidden="1" customHeight="1">
      <c r="F5" s="103" t="s">
        <v>220</v>
      </c>
      <c r="G5" s="106"/>
    </row>
    <row r="6" spans="1:8" ht="9" hidden="1" customHeight="1">
      <c r="F6" s="103"/>
    </row>
    <row r="7" spans="1:8" ht="10.5" customHeight="1">
      <c r="F7" s="103"/>
    </row>
    <row r="8" spans="1:8" ht="47.25" customHeight="1">
      <c r="A8" s="421" t="s">
        <v>0</v>
      </c>
      <c r="B8" s="422" t="s">
        <v>1</v>
      </c>
      <c r="C8" s="8" t="s">
        <v>2</v>
      </c>
      <c r="D8" s="423" t="s">
        <v>193</v>
      </c>
      <c r="E8" s="423" t="s">
        <v>221</v>
      </c>
      <c r="F8" s="423" t="s">
        <v>222</v>
      </c>
      <c r="G8" s="423" t="s">
        <v>223</v>
      </c>
      <c r="H8" s="424" t="s">
        <v>273</v>
      </c>
    </row>
    <row r="9" spans="1:8">
      <c r="A9" s="180">
        <v>10</v>
      </c>
      <c r="B9" s="108"/>
      <c r="C9" s="109"/>
      <c r="D9" s="110" t="s">
        <v>5</v>
      </c>
      <c r="E9" s="110"/>
      <c r="F9" s="110"/>
      <c r="G9" s="110"/>
      <c r="H9" s="181">
        <f>H10+H13+H16</f>
        <v>189000</v>
      </c>
    </row>
    <row r="10" spans="1:8">
      <c r="A10" s="166"/>
      <c r="B10" s="108">
        <v>1008</v>
      </c>
      <c r="C10" s="109"/>
      <c r="D10" s="110" t="s">
        <v>92</v>
      </c>
      <c r="E10" s="110"/>
      <c r="F10" s="110"/>
      <c r="G10" s="110"/>
      <c r="H10" s="181">
        <f>SUM(H12)</f>
        <v>139000</v>
      </c>
    </row>
    <row r="11" spans="1:8">
      <c r="A11" s="166"/>
      <c r="B11" s="108"/>
      <c r="C11" s="109">
        <v>6050</v>
      </c>
      <c r="D11" s="111" t="s">
        <v>98</v>
      </c>
      <c r="E11" s="112"/>
      <c r="F11" s="117"/>
      <c r="G11" s="117"/>
      <c r="H11" s="182">
        <f>H12</f>
        <v>139000</v>
      </c>
    </row>
    <row r="12" spans="1:8" ht="25.5">
      <c r="A12" s="427"/>
      <c r="B12" s="428"/>
      <c r="C12" s="429"/>
      <c r="D12" s="468" t="s">
        <v>224</v>
      </c>
      <c r="E12" s="133" t="s">
        <v>225</v>
      </c>
      <c r="F12" s="131" t="s">
        <v>403</v>
      </c>
      <c r="G12" s="134">
        <f>100000+4000000</f>
        <v>4100000</v>
      </c>
      <c r="H12" s="469">
        <f>99000+40000</f>
        <v>139000</v>
      </c>
    </row>
    <row r="13" spans="1:8">
      <c r="A13" s="166"/>
      <c r="B13" s="108">
        <v>1044</v>
      </c>
      <c r="C13" s="113"/>
      <c r="D13" s="110" t="s">
        <v>6</v>
      </c>
      <c r="E13" s="110"/>
      <c r="F13" s="118"/>
      <c r="G13" s="118"/>
      <c r="H13" s="183">
        <f>H14</f>
        <v>0</v>
      </c>
    </row>
    <row r="14" spans="1:8">
      <c r="A14" s="166"/>
      <c r="B14" s="108"/>
      <c r="C14" s="113">
        <v>6050</v>
      </c>
      <c r="D14" s="111" t="s">
        <v>98</v>
      </c>
      <c r="E14" s="111"/>
      <c r="F14" s="119"/>
      <c r="G14" s="119"/>
      <c r="H14" s="182">
        <f>H15</f>
        <v>0</v>
      </c>
    </row>
    <row r="15" spans="1:8" ht="15.75" customHeight="1">
      <c r="A15" s="166"/>
      <c r="B15" s="108"/>
      <c r="C15" s="113"/>
      <c r="D15" s="115" t="s">
        <v>488</v>
      </c>
      <c r="E15" s="131" t="s">
        <v>225</v>
      </c>
      <c r="F15" s="131">
        <v>2024</v>
      </c>
      <c r="G15" s="127">
        <v>0</v>
      </c>
      <c r="H15" s="184">
        <f>200000-200000</f>
        <v>0</v>
      </c>
    </row>
    <row r="16" spans="1:8" ht="15.75" customHeight="1">
      <c r="A16" s="166"/>
      <c r="B16" s="108">
        <v>1078</v>
      </c>
      <c r="C16" s="113"/>
      <c r="D16" s="110" t="s">
        <v>498</v>
      </c>
      <c r="E16" s="110"/>
      <c r="F16" s="118"/>
      <c r="G16" s="118"/>
      <c r="H16" s="183">
        <f>H17</f>
        <v>50000</v>
      </c>
    </row>
    <row r="17" spans="1:8" ht="38.25">
      <c r="A17" s="166"/>
      <c r="B17" s="108"/>
      <c r="C17" s="159">
        <v>6300</v>
      </c>
      <c r="D17" s="115" t="s">
        <v>109</v>
      </c>
      <c r="E17" s="118"/>
      <c r="F17" s="118"/>
      <c r="G17" s="118"/>
      <c r="H17" s="183">
        <f>H18</f>
        <v>50000</v>
      </c>
    </row>
    <row r="18" spans="1:8" ht="25.5">
      <c r="A18" s="166"/>
      <c r="B18" s="108"/>
      <c r="C18" s="113"/>
      <c r="D18" s="110" t="s">
        <v>499</v>
      </c>
      <c r="E18" s="131" t="s">
        <v>225</v>
      </c>
      <c r="F18" s="131">
        <v>2024</v>
      </c>
      <c r="G18" s="125">
        <v>50000</v>
      </c>
      <c r="H18" s="186">
        <v>50000</v>
      </c>
    </row>
    <row r="19" spans="1:8">
      <c r="A19" s="166">
        <v>600</v>
      </c>
      <c r="B19" s="108"/>
      <c r="C19" s="109"/>
      <c r="D19" s="110" t="s">
        <v>12</v>
      </c>
      <c r="E19" s="114"/>
      <c r="F19" s="120"/>
      <c r="G19" s="120"/>
      <c r="H19" s="185">
        <f>H20+H25+H33</f>
        <v>32648714.02</v>
      </c>
    </row>
    <row r="20" spans="1:8">
      <c r="A20" s="166"/>
      <c r="B20" s="108">
        <v>60004</v>
      </c>
      <c r="C20" s="109"/>
      <c r="D20" s="110" t="s">
        <v>14</v>
      </c>
      <c r="E20" s="114"/>
      <c r="F20" s="120"/>
      <c r="G20" s="120"/>
      <c r="H20" s="185">
        <f>H21+H23</f>
        <v>1056434</v>
      </c>
    </row>
    <row r="21" spans="1:8" ht="50.25" customHeight="1">
      <c r="A21" s="166"/>
      <c r="B21" s="108"/>
      <c r="C21" s="109">
        <v>6650</v>
      </c>
      <c r="D21" s="115" t="s">
        <v>206</v>
      </c>
      <c r="E21" s="116"/>
      <c r="F21" s="116"/>
      <c r="G21" s="116"/>
      <c r="H21" s="184">
        <f>SUM(H22)</f>
        <v>56434</v>
      </c>
    </row>
    <row r="22" spans="1:8" ht="38.25">
      <c r="A22" s="166"/>
      <c r="B22" s="108"/>
      <c r="C22" s="113"/>
      <c r="D22" s="115" t="s">
        <v>227</v>
      </c>
      <c r="E22" s="131" t="s">
        <v>225</v>
      </c>
      <c r="F22" s="131" t="s">
        <v>226</v>
      </c>
      <c r="G22" s="127">
        <f>116875-2003</f>
        <v>114872</v>
      </c>
      <c r="H22" s="184">
        <v>56434</v>
      </c>
    </row>
    <row r="23" spans="1:8">
      <c r="A23" s="166"/>
      <c r="B23" s="108"/>
      <c r="C23" s="109">
        <v>6010</v>
      </c>
      <c r="D23" s="110" t="s">
        <v>399</v>
      </c>
      <c r="E23" s="132"/>
      <c r="F23" s="132"/>
      <c r="G23" s="125"/>
      <c r="H23" s="186">
        <v>1000000</v>
      </c>
    </row>
    <row r="24" spans="1:8">
      <c r="A24" s="166"/>
      <c r="B24" s="108"/>
      <c r="C24" s="113"/>
      <c r="D24" s="110" t="s">
        <v>487</v>
      </c>
      <c r="E24" s="131" t="s">
        <v>225</v>
      </c>
      <c r="F24" s="131">
        <v>2024</v>
      </c>
      <c r="G24" s="125"/>
      <c r="H24" s="186">
        <v>1000000</v>
      </c>
    </row>
    <row r="25" spans="1:8">
      <c r="A25" s="166"/>
      <c r="B25" s="108">
        <v>60014</v>
      </c>
      <c r="C25" s="109"/>
      <c r="D25" s="110" t="s">
        <v>15</v>
      </c>
      <c r="E25" s="110"/>
      <c r="F25" s="110"/>
      <c r="G25" s="110"/>
      <c r="H25" s="181">
        <f>H26+H30</f>
        <v>2476668</v>
      </c>
    </row>
    <row r="26" spans="1:8" ht="15.75">
      <c r="A26" s="9"/>
      <c r="B26" s="10"/>
      <c r="C26" s="109">
        <v>6050</v>
      </c>
      <c r="D26" s="110" t="s">
        <v>98</v>
      </c>
      <c r="E26" s="131"/>
      <c r="F26" s="131"/>
      <c r="G26" s="127"/>
      <c r="H26" s="184">
        <f>SUM(H27:H29)</f>
        <v>1350000</v>
      </c>
    </row>
    <row r="27" spans="1:8" ht="36.75" customHeight="1">
      <c r="A27" s="9"/>
      <c r="B27" s="10"/>
      <c r="C27" s="107"/>
      <c r="D27" s="110" t="s">
        <v>489</v>
      </c>
      <c r="E27" s="132" t="s">
        <v>225</v>
      </c>
      <c r="F27" s="132" t="s">
        <v>228</v>
      </c>
      <c r="G27" s="125">
        <f>2380000-104000+250000+424151+564849-195000</f>
        <v>3320000</v>
      </c>
      <c r="H27" s="186">
        <f>500000-104000-385000+2404000-2000000-195000</f>
        <v>220000</v>
      </c>
    </row>
    <row r="28" spans="1:8" ht="15.75">
      <c r="A28" s="9"/>
      <c r="B28" s="10"/>
      <c r="C28" s="107"/>
      <c r="D28" s="202" t="s">
        <v>275</v>
      </c>
      <c r="E28" s="132" t="s">
        <v>225</v>
      </c>
      <c r="F28" s="132">
        <v>2024</v>
      </c>
      <c r="G28" s="125">
        <v>1000000</v>
      </c>
      <c r="H28" s="186">
        <v>1000000</v>
      </c>
    </row>
    <row r="29" spans="1:8" ht="38.25">
      <c r="A29" s="9"/>
      <c r="B29" s="10"/>
      <c r="C29" s="11"/>
      <c r="D29" s="144" t="s">
        <v>229</v>
      </c>
      <c r="E29" s="131" t="s">
        <v>225</v>
      </c>
      <c r="F29" s="131" t="s">
        <v>403</v>
      </c>
      <c r="G29" s="127">
        <f>150000+70000+1000000</f>
        <v>1220000</v>
      </c>
      <c r="H29" s="184">
        <f>150000-20000-10000+70000-60000</f>
        <v>130000</v>
      </c>
    </row>
    <row r="30" spans="1:8" ht="42" customHeight="1">
      <c r="A30" s="9"/>
      <c r="B30" s="10"/>
      <c r="C30" s="159">
        <v>6300</v>
      </c>
      <c r="D30" s="115" t="s">
        <v>109</v>
      </c>
      <c r="E30" s="132"/>
      <c r="F30" s="131"/>
      <c r="G30" s="127"/>
      <c r="H30" s="184">
        <f>SUM(H31:H32)</f>
        <v>1126668</v>
      </c>
    </row>
    <row r="31" spans="1:8" ht="51">
      <c r="A31" s="62"/>
      <c r="B31" s="63"/>
      <c r="C31" s="250"/>
      <c r="D31" s="110" t="s">
        <v>333</v>
      </c>
      <c r="E31" s="131" t="s">
        <v>225</v>
      </c>
      <c r="F31" s="131">
        <v>2024</v>
      </c>
      <c r="G31" s="127">
        <v>1096668</v>
      </c>
      <c r="H31" s="184">
        <v>1096668</v>
      </c>
    </row>
    <row r="32" spans="1:8" ht="24" customHeight="1">
      <c r="A32" s="9"/>
      <c r="B32" s="10"/>
      <c r="C32" s="109"/>
      <c r="D32" s="203" t="s">
        <v>276</v>
      </c>
      <c r="E32" s="131" t="s">
        <v>225</v>
      </c>
      <c r="F32" s="131" t="s">
        <v>226</v>
      </c>
      <c r="G32" s="127">
        <v>30000</v>
      </c>
      <c r="H32" s="184">
        <f>20000+10000</f>
        <v>30000</v>
      </c>
    </row>
    <row r="33" spans="1:8">
      <c r="A33" s="166"/>
      <c r="B33" s="108">
        <v>60016</v>
      </c>
      <c r="C33" s="109"/>
      <c r="D33" s="110" t="s">
        <v>16</v>
      </c>
      <c r="E33" s="110"/>
      <c r="F33" s="110"/>
      <c r="G33" s="110"/>
      <c r="H33" s="172">
        <f>H34+H76</f>
        <v>29115612.02</v>
      </c>
    </row>
    <row r="34" spans="1:8" ht="15.75">
      <c r="A34" s="9"/>
      <c r="B34" s="10"/>
      <c r="C34" s="109">
        <v>6050</v>
      </c>
      <c r="D34" s="110" t="s">
        <v>98</v>
      </c>
      <c r="E34" s="131"/>
      <c r="F34" s="131"/>
      <c r="G34" s="127"/>
      <c r="H34" s="187">
        <f>SUM(H35:H75)</f>
        <v>27274805</v>
      </c>
    </row>
    <row r="35" spans="1:8" ht="16.5" customHeight="1">
      <c r="A35" s="9"/>
      <c r="B35" s="10"/>
      <c r="C35" s="107"/>
      <c r="D35" s="115" t="s">
        <v>235</v>
      </c>
      <c r="E35" s="131" t="s">
        <v>225</v>
      </c>
      <c r="F35" s="131" t="s">
        <v>236</v>
      </c>
      <c r="G35" s="134">
        <f>2000000+1150000</f>
        <v>3150000</v>
      </c>
      <c r="H35" s="188">
        <f>999000</f>
        <v>999000</v>
      </c>
    </row>
    <row r="36" spans="1:8" ht="15" customHeight="1">
      <c r="A36" s="9"/>
      <c r="B36" s="10"/>
      <c r="C36" s="107"/>
      <c r="D36" s="115" t="s">
        <v>243</v>
      </c>
      <c r="E36" s="131" t="s">
        <v>225</v>
      </c>
      <c r="F36" s="131" t="s">
        <v>247</v>
      </c>
      <c r="G36" s="134">
        <f>70000+5000</f>
        <v>75000</v>
      </c>
      <c r="H36" s="188">
        <f>70000-2000+5000-68000</f>
        <v>5000</v>
      </c>
    </row>
    <row r="37" spans="1:8" ht="15.75">
      <c r="A37" s="9"/>
      <c r="B37" s="10"/>
      <c r="C37" s="107"/>
      <c r="D37" s="115" t="s">
        <v>242</v>
      </c>
      <c r="E37" s="131" t="s">
        <v>225</v>
      </c>
      <c r="F37" s="131" t="s">
        <v>247</v>
      </c>
      <c r="G37" s="134">
        <v>80000</v>
      </c>
      <c r="H37" s="188">
        <f>80000-2000-40000</f>
        <v>38000</v>
      </c>
    </row>
    <row r="38" spans="1:8" ht="15.75">
      <c r="A38" s="9"/>
      <c r="B38" s="10"/>
      <c r="C38" s="107"/>
      <c r="D38" s="115" t="s">
        <v>304</v>
      </c>
      <c r="E38" s="131" t="s">
        <v>225</v>
      </c>
      <c r="F38" s="148" t="s">
        <v>408</v>
      </c>
      <c r="G38" s="135">
        <v>100000</v>
      </c>
      <c r="H38" s="189">
        <f>10000-9000</f>
        <v>1000</v>
      </c>
    </row>
    <row r="39" spans="1:8" ht="15.75">
      <c r="A39" s="9"/>
      <c r="B39" s="10"/>
      <c r="C39" s="107"/>
      <c r="D39" s="110" t="s">
        <v>241</v>
      </c>
      <c r="E39" s="132" t="s">
        <v>225</v>
      </c>
      <c r="F39" s="132" t="s">
        <v>247</v>
      </c>
      <c r="G39" s="135">
        <v>50000</v>
      </c>
      <c r="H39" s="189">
        <f>50000-2000-47000</f>
        <v>1000</v>
      </c>
    </row>
    <row r="40" spans="1:8" ht="15.75">
      <c r="A40" s="9"/>
      <c r="B40" s="10"/>
      <c r="C40" s="107"/>
      <c r="D40" s="110" t="s">
        <v>506</v>
      </c>
      <c r="E40" s="132" t="s">
        <v>225</v>
      </c>
      <c r="F40" s="132" t="s">
        <v>279</v>
      </c>
      <c r="G40" s="135">
        <v>70000</v>
      </c>
      <c r="H40" s="189">
        <v>1000</v>
      </c>
    </row>
    <row r="41" spans="1:8" ht="25.5">
      <c r="A41" s="9"/>
      <c r="B41" s="10"/>
      <c r="C41" s="107"/>
      <c r="D41" s="110" t="s">
        <v>507</v>
      </c>
      <c r="E41" s="132" t="s">
        <v>225</v>
      </c>
      <c r="F41" s="132" t="s">
        <v>279</v>
      </c>
      <c r="G41" s="135">
        <v>45000</v>
      </c>
      <c r="H41" s="189">
        <v>1000</v>
      </c>
    </row>
    <row r="42" spans="1:8" ht="15.75">
      <c r="A42" s="9"/>
      <c r="B42" s="10"/>
      <c r="C42" s="107"/>
      <c r="D42" s="115" t="s">
        <v>238</v>
      </c>
      <c r="E42" s="131" t="s">
        <v>225</v>
      </c>
      <c r="F42" s="131" t="s">
        <v>247</v>
      </c>
      <c r="G42" s="134">
        <f>100000-35000+30000</f>
        <v>95000</v>
      </c>
      <c r="H42" s="188">
        <f>93000-49000</f>
        <v>44000</v>
      </c>
    </row>
    <row r="43" spans="1:8" ht="15.75" customHeight="1">
      <c r="A43" s="9"/>
      <c r="B43" s="10"/>
      <c r="C43" s="107"/>
      <c r="D43" s="115" t="s">
        <v>239</v>
      </c>
      <c r="E43" s="131" t="s">
        <v>225</v>
      </c>
      <c r="F43" s="131" t="s">
        <v>247</v>
      </c>
      <c r="G43" s="134">
        <f>100000+3000000</f>
        <v>3100000</v>
      </c>
      <c r="H43" s="188">
        <f>100000-2000</f>
        <v>98000</v>
      </c>
    </row>
    <row r="44" spans="1:8" ht="25.5">
      <c r="A44" s="9"/>
      <c r="B44" s="10"/>
      <c r="C44" s="107"/>
      <c r="D44" s="112" t="s">
        <v>486</v>
      </c>
      <c r="E44" s="130" t="s">
        <v>225</v>
      </c>
      <c r="F44" s="130" t="s">
        <v>247</v>
      </c>
      <c r="G44" s="475">
        <f>120000+1800000</f>
        <v>1920000</v>
      </c>
      <c r="H44" s="190">
        <f>120000-2000</f>
        <v>118000</v>
      </c>
    </row>
    <row r="45" spans="1:8" ht="15.75">
      <c r="A45" s="9"/>
      <c r="B45" s="10"/>
      <c r="C45" s="107"/>
      <c r="D45" s="115" t="s">
        <v>240</v>
      </c>
      <c r="E45" s="131" t="s">
        <v>225</v>
      </c>
      <c r="F45" s="131" t="s">
        <v>226</v>
      </c>
      <c r="G45" s="134">
        <v>130000</v>
      </c>
      <c r="H45" s="188">
        <f>130000-1000</f>
        <v>129000</v>
      </c>
    </row>
    <row r="46" spans="1:8" ht="25.5">
      <c r="A46" s="9"/>
      <c r="B46" s="10"/>
      <c r="C46" s="107"/>
      <c r="D46" s="115" t="s">
        <v>277</v>
      </c>
      <c r="E46" s="131" t="s">
        <v>225</v>
      </c>
      <c r="F46" s="131" t="s">
        <v>279</v>
      </c>
      <c r="G46" s="138">
        <v>1600000</v>
      </c>
      <c r="H46" s="188">
        <f>1600000-1500000+1300000</f>
        <v>1400000</v>
      </c>
    </row>
    <row r="47" spans="1:8" ht="15.75">
      <c r="A47" s="9"/>
      <c r="B47" s="10"/>
      <c r="C47" s="107"/>
      <c r="D47" s="155" t="s">
        <v>278</v>
      </c>
      <c r="E47" s="148" t="s">
        <v>225</v>
      </c>
      <c r="F47" s="148" t="s">
        <v>279</v>
      </c>
      <c r="G47" s="156">
        <v>2500000</v>
      </c>
      <c r="H47" s="191">
        <f>2500000-500000-1500000</f>
        <v>500000</v>
      </c>
    </row>
    <row r="48" spans="1:8" ht="24" customHeight="1">
      <c r="A48" s="9"/>
      <c r="B48" s="10"/>
      <c r="C48" s="107"/>
      <c r="D48" s="155" t="s">
        <v>283</v>
      </c>
      <c r="E48" s="148" t="s">
        <v>225</v>
      </c>
      <c r="F48" s="148" t="s">
        <v>279</v>
      </c>
      <c r="G48" s="156">
        <v>400000</v>
      </c>
      <c r="H48" s="191">
        <f>400000-100000-219000</f>
        <v>81000</v>
      </c>
    </row>
    <row r="49" spans="1:8" ht="15.75">
      <c r="A49" s="9"/>
      <c r="B49" s="10"/>
      <c r="C49" s="107"/>
      <c r="D49" s="155" t="s">
        <v>349</v>
      </c>
      <c r="E49" s="148" t="s">
        <v>225</v>
      </c>
      <c r="F49" s="148" t="s">
        <v>279</v>
      </c>
      <c r="G49" s="156">
        <v>80000</v>
      </c>
      <c r="H49" s="191">
        <v>1000</v>
      </c>
    </row>
    <row r="50" spans="1:8" ht="15.75">
      <c r="A50" s="473"/>
      <c r="B50" s="10"/>
      <c r="C50" s="107"/>
      <c r="D50" s="155" t="s">
        <v>509</v>
      </c>
      <c r="E50" s="132" t="s">
        <v>225</v>
      </c>
      <c r="F50" s="132" t="s">
        <v>279</v>
      </c>
      <c r="G50" s="135">
        <v>100000</v>
      </c>
      <c r="H50" s="189">
        <v>1000</v>
      </c>
    </row>
    <row r="51" spans="1:8" ht="15.75">
      <c r="A51" s="179"/>
      <c r="B51" s="10"/>
      <c r="C51" s="107"/>
      <c r="D51" s="111" t="s">
        <v>237</v>
      </c>
      <c r="E51" s="136" t="s">
        <v>225</v>
      </c>
      <c r="F51" s="136" t="s">
        <v>226</v>
      </c>
      <c r="G51" s="137">
        <v>100000</v>
      </c>
      <c r="H51" s="192">
        <f>100000-2000</f>
        <v>98000</v>
      </c>
    </row>
    <row r="52" spans="1:8" ht="15.75" customHeight="1">
      <c r="A52" s="9"/>
      <c r="B52" s="10"/>
      <c r="C52" s="107"/>
      <c r="D52" s="115" t="s">
        <v>244</v>
      </c>
      <c r="E52" s="131" t="s">
        <v>225</v>
      </c>
      <c r="F52" s="131" t="s">
        <v>226</v>
      </c>
      <c r="G52" s="134">
        <v>100000</v>
      </c>
      <c r="H52" s="188">
        <f>100000-2000</f>
        <v>98000</v>
      </c>
    </row>
    <row r="53" spans="1:8" ht="15.75">
      <c r="A53" s="9"/>
      <c r="B53" s="10"/>
      <c r="C53" s="107"/>
      <c r="D53" s="110" t="s">
        <v>245</v>
      </c>
      <c r="E53" s="132" t="s">
        <v>225</v>
      </c>
      <c r="F53" s="132" t="s">
        <v>226</v>
      </c>
      <c r="G53" s="135">
        <v>100000</v>
      </c>
      <c r="H53" s="189">
        <f>100000-2000</f>
        <v>98000</v>
      </c>
    </row>
    <row r="54" spans="1:8" ht="25.5" customHeight="1">
      <c r="A54" s="9"/>
      <c r="B54" s="10"/>
      <c r="C54" s="107"/>
      <c r="D54" s="110" t="s">
        <v>246</v>
      </c>
      <c r="E54" s="132" t="s">
        <v>225</v>
      </c>
      <c r="F54" s="132" t="s">
        <v>247</v>
      </c>
      <c r="G54" s="135">
        <v>12000000</v>
      </c>
      <c r="H54" s="189">
        <f>12000000-1000-7000000-1100000</f>
        <v>3899000</v>
      </c>
    </row>
    <row r="55" spans="1:8" ht="15.75">
      <c r="A55" s="9"/>
      <c r="B55" s="10"/>
      <c r="C55" s="107"/>
      <c r="D55" s="110" t="s">
        <v>248</v>
      </c>
      <c r="E55" s="132" t="s">
        <v>225</v>
      </c>
      <c r="F55" s="132" t="s">
        <v>226</v>
      </c>
      <c r="G55" s="135">
        <f>1000+1999000+2000000+800000</f>
        <v>4800000</v>
      </c>
      <c r="H55" s="189">
        <f>4000000-1000-2000000-1000000+3716000</f>
        <v>4715000</v>
      </c>
    </row>
    <row r="56" spans="1:8" ht="15.75">
      <c r="A56" s="9"/>
      <c r="B56" s="10"/>
      <c r="C56" s="107"/>
      <c r="D56" s="110" t="s">
        <v>467</v>
      </c>
      <c r="E56" s="132" t="s">
        <v>225</v>
      </c>
      <c r="F56" s="132" t="s">
        <v>247</v>
      </c>
      <c r="G56" s="135">
        <f>1000+499000+1000000+200000</f>
        <v>1700000</v>
      </c>
      <c r="H56" s="189">
        <f>1500000-1000-1000000</f>
        <v>499000</v>
      </c>
    </row>
    <row r="57" spans="1:8" ht="15.75">
      <c r="A57" s="9"/>
      <c r="B57" s="10"/>
      <c r="C57" s="107"/>
      <c r="D57" s="129" t="s">
        <v>280</v>
      </c>
      <c r="E57" s="151" t="s">
        <v>225</v>
      </c>
      <c r="F57" s="151" t="s">
        <v>279</v>
      </c>
      <c r="G57" s="157">
        <f>4000000+300000</f>
        <v>4300000</v>
      </c>
      <c r="H57" s="193">
        <f>4000000-3000000</f>
        <v>1000000</v>
      </c>
    </row>
    <row r="58" spans="1:8" ht="25.5">
      <c r="A58" s="9"/>
      <c r="B58" s="10"/>
      <c r="C58" s="107"/>
      <c r="D58" s="129" t="s">
        <v>328</v>
      </c>
      <c r="E58" s="151" t="s">
        <v>225</v>
      </c>
      <c r="F58" s="151">
        <v>2024</v>
      </c>
      <c r="G58" s="157">
        <f>600000+170000+85000</f>
        <v>855000</v>
      </c>
      <c r="H58" s="193">
        <f>600000+170000+85000</f>
        <v>855000</v>
      </c>
    </row>
    <row r="59" spans="1:8" ht="15.75">
      <c r="A59" s="9"/>
      <c r="B59" s="10"/>
      <c r="C59" s="107"/>
      <c r="D59" s="115" t="s">
        <v>462</v>
      </c>
      <c r="E59" s="131" t="s">
        <v>225</v>
      </c>
      <c r="F59" s="131" t="s">
        <v>279</v>
      </c>
      <c r="G59" s="134">
        <v>130000</v>
      </c>
      <c r="H59" s="188">
        <v>1000</v>
      </c>
    </row>
    <row r="60" spans="1:8" ht="38.25">
      <c r="A60" s="9"/>
      <c r="B60" s="121"/>
      <c r="C60" s="123"/>
      <c r="D60" s="115" t="s">
        <v>232</v>
      </c>
      <c r="E60" s="131" t="s">
        <v>225</v>
      </c>
      <c r="F60" s="131" t="s">
        <v>233</v>
      </c>
      <c r="G60" s="134">
        <v>5410000</v>
      </c>
      <c r="H60" s="188">
        <f>2900000-2700000</f>
        <v>200000</v>
      </c>
    </row>
    <row r="61" spans="1:8" ht="39" customHeight="1">
      <c r="A61" s="194"/>
      <c r="B61" s="10"/>
      <c r="C61" s="107"/>
      <c r="D61" s="110" t="s">
        <v>468</v>
      </c>
      <c r="E61" s="132" t="s">
        <v>225</v>
      </c>
      <c r="F61" s="132" t="s">
        <v>226</v>
      </c>
      <c r="G61" s="135">
        <f>5000000+957800+1500000+2000000-2013995</f>
        <v>7443805</v>
      </c>
      <c r="H61" s="189">
        <f>5000000-1000+957800+1500000+2000000-2013995</f>
        <v>7442805</v>
      </c>
    </row>
    <row r="62" spans="1:8" ht="25.5">
      <c r="A62" s="9"/>
      <c r="B62" s="10"/>
      <c r="C62" s="123"/>
      <c r="D62" s="115" t="s">
        <v>249</v>
      </c>
      <c r="E62" s="131" t="s">
        <v>225</v>
      </c>
      <c r="F62" s="131" t="s">
        <v>226</v>
      </c>
      <c r="G62" s="134">
        <f>100000+12000</f>
        <v>112000</v>
      </c>
      <c r="H62" s="188">
        <f>100000-2000+12000</f>
        <v>110000</v>
      </c>
    </row>
    <row r="63" spans="1:8" ht="15.75" customHeight="1">
      <c r="A63" s="9"/>
      <c r="B63" s="10"/>
      <c r="C63" s="123"/>
      <c r="D63" s="115" t="s">
        <v>250</v>
      </c>
      <c r="E63" s="131" t="s">
        <v>225</v>
      </c>
      <c r="F63" s="131" t="s">
        <v>226</v>
      </c>
      <c r="G63" s="134">
        <f>3500000-1159192.98</f>
        <v>2340807.02</v>
      </c>
      <c r="H63" s="188">
        <f>499000</f>
        <v>499000</v>
      </c>
    </row>
    <row r="64" spans="1:8" ht="25.5">
      <c r="A64" s="9"/>
      <c r="B64" s="10"/>
      <c r="C64" s="107"/>
      <c r="D64" s="115" t="s">
        <v>281</v>
      </c>
      <c r="E64" s="131" t="s">
        <v>225</v>
      </c>
      <c r="F64" s="131" t="s">
        <v>279</v>
      </c>
      <c r="G64" s="134">
        <f>250000+50000</f>
        <v>300000</v>
      </c>
      <c r="H64" s="188">
        <v>250000</v>
      </c>
    </row>
    <row r="65" spans="1:8" ht="15.75">
      <c r="A65" s="9"/>
      <c r="B65" s="10"/>
      <c r="C65" s="107"/>
      <c r="D65" s="115" t="s">
        <v>400</v>
      </c>
      <c r="E65" s="131" t="s">
        <v>225</v>
      </c>
      <c r="F65" s="131">
        <v>2024</v>
      </c>
      <c r="G65" s="134">
        <v>600000</v>
      </c>
      <c r="H65" s="188">
        <v>600000</v>
      </c>
    </row>
    <row r="66" spans="1:8" ht="15.75" customHeight="1">
      <c r="A66" s="9"/>
      <c r="B66" s="10"/>
      <c r="C66" s="107"/>
      <c r="D66" s="115" t="s">
        <v>230</v>
      </c>
      <c r="E66" s="131" t="s">
        <v>225</v>
      </c>
      <c r="F66" s="131" t="s">
        <v>231</v>
      </c>
      <c r="G66" s="134">
        <f>960000+1740000+120000</f>
        <v>2820000</v>
      </c>
      <c r="H66" s="188">
        <f>2599000+120000</f>
        <v>2719000</v>
      </c>
    </row>
    <row r="67" spans="1:8" ht="17.25" customHeight="1">
      <c r="A67" s="9"/>
      <c r="B67" s="10"/>
      <c r="C67" s="107"/>
      <c r="D67" s="115" t="s">
        <v>251</v>
      </c>
      <c r="E67" s="131" t="s">
        <v>225</v>
      </c>
      <c r="F67" s="131" t="s">
        <v>247</v>
      </c>
      <c r="G67" s="134">
        <f>90000+35000</f>
        <v>125000</v>
      </c>
      <c r="H67" s="188">
        <f>125000-2000-53000</f>
        <v>70000</v>
      </c>
    </row>
    <row r="68" spans="1:8" ht="16.5" customHeight="1">
      <c r="A68" s="9"/>
      <c r="B68" s="10"/>
      <c r="C68" s="107"/>
      <c r="D68" s="129" t="s">
        <v>282</v>
      </c>
      <c r="E68" s="148" t="s">
        <v>225</v>
      </c>
      <c r="F68" s="151" t="s">
        <v>247</v>
      </c>
      <c r="G68" s="157">
        <v>2700000</v>
      </c>
      <c r="H68" s="193">
        <f>2700000-700000-1300000-230000</f>
        <v>470000</v>
      </c>
    </row>
    <row r="69" spans="1:8" ht="16.5" customHeight="1">
      <c r="A69" s="9"/>
      <c r="B69" s="10"/>
      <c r="C69" s="107"/>
      <c r="D69" s="129" t="s">
        <v>517</v>
      </c>
      <c r="E69" s="148" t="s">
        <v>225</v>
      </c>
      <c r="F69" s="132" t="s">
        <v>279</v>
      </c>
      <c r="G69" s="157">
        <v>100000</v>
      </c>
      <c r="H69" s="193">
        <v>1000</v>
      </c>
    </row>
    <row r="70" spans="1:8" ht="16.5" customHeight="1">
      <c r="A70" s="9"/>
      <c r="B70" s="10"/>
      <c r="C70" s="107"/>
      <c r="D70" s="129" t="s">
        <v>508</v>
      </c>
      <c r="E70" s="148" t="s">
        <v>225</v>
      </c>
      <c r="F70" s="132" t="s">
        <v>279</v>
      </c>
      <c r="G70" s="157">
        <v>80000</v>
      </c>
      <c r="H70" s="193">
        <v>1000</v>
      </c>
    </row>
    <row r="71" spans="1:8" ht="16.5" customHeight="1">
      <c r="A71" s="9"/>
      <c r="B71" s="10"/>
      <c r="C71" s="107"/>
      <c r="D71" s="155" t="s">
        <v>519</v>
      </c>
      <c r="E71" s="148" t="s">
        <v>225</v>
      </c>
      <c r="F71" s="132" t="s">
        <v>279</v>
      </c>
      <c r="G71" s="157">
        <v>80000</v>
      </c>
      <c r="H71" s="193">
        <v>1000</v>
      </c>
    </row>
    <row r="72" spans="1:8" ht="24" customHeight="1">
      <c r="A72" s="9"/>
      <c r="B72" s="10"/>
      <c r="C72" s="107"/>
      <c r="D72" s="110" t="s">
        <v>295</v>
      </c>
      <c r="E72" s="131" t="s">
        <v>225</v>
      </c>
      <c r="F72" s="132" t="s">
        <v>279</v>
      </c>
      <c r="G72" s="135">
        <v>410000</v>
      </c>
      <c r="H72" s="189">
        <f>400000+10000-300000</f>
        <v>110000</v>
      </c>
    </row>
    <row r="73" spans="1:8" ht="26.25" customHeight="1">
      <c r="A73" s="9"/>
      <c r="B73" s="10"/>
      <c r="C73" s="107"/>
      <c r="D73" s="110" t="s">
        <v>463</v>
      </c>
      <c r="E73" s="131" t="s">
        <v>225</v>
      </c>
      <c r="F73" s="132" t="s">
        <v>279</v>
      </c>
      <c r="G73" s="135">
        <v>600000</v>
      </c>
      <c r="H73" s="189">
        <f>100000-70000</f>
        <v>30000</v>
      </c>
    </row>
    <row r="74" spans="1:8" ht="16.5" customHeight="1">
      <c r="A74" s="9"/>
      <c r="B74" s="10"/>
      <c r="C74" s="107"/>
      <c r="D74" s="110" t="s">
        <v>466</v>
      </c>
      <c r="E74" s="131" t="s">
        <v>225</v>
      </c>
      <c r="F74" s="132" t="s">
        <v>279</v>
      </c>
      <c r="G74" s="135">
        <f>20000+99000</f>
        <v>119000</v>
      </c>
      <c r="H74" s="189">
        <v>20000</v>
      </c>
    </row>
    <row r="75" spans="1:8" ht="24" customHeight="1">
      <c r="A75" s="9"/>
      <c r="B75" s="10"/>
      <c r="C75" s="107"/>
      <c r="D75" s="110" t="s">
        <v>490</v>
      </c>
      <c r="E75" s="131" t="s">
        <v>225</v>
      </c>
      <c r="F75" s="132">
        <v>2024</v>
      </c>
      <c r="G75" s="135">
        <v>70000</v>
      </c>
      <c r="H75" s="189">
        <v>70000</v>
      </c>
    </row>
    <row r="76" spans="1:8" ht="38.25">
      <c r="A76" s="9"/>
      <c r="B76" s="10"/>
      <c r="C76" s="109">
        <v>6370</v>
      </c>
      <c r="D76" s="110" t="s">
        <v>215</v>
      </c>
      <c r="E76" s="132"/>
      <c r="F76" s="132"/>
      <c r="G76" s="135"/>
      <c r="H76" s="189">
        <f>H77</f>
        <v>1840807.02</v>
      </c>
    </row>
    <row r="77" spans="1:8" ht="15.75">
      <c r="A77" s="9"/>
      <c r="B77" s="10"/>
      <c r="C77" s="109"/>
      <c r="D77" s="115" t="s">
        <v>250</v>
      </c>
      <c r="E77" s="131" t="s">
        <v>225</v>
      </c>
      <c r="F77" s="131" t="s">
        <v>226</v>
      </c>
      <c r="G77" s="134"/>
      <c r="H77" s="188">
        <f>3000000-1159192.98</f>
        <v>1840807.02</v>
      </c>
    </row>
    <row r="78" spans="1:8" ht="15.75">
      <c r="A78" s="166">
        <v>700</v>
      </c>
      <c r="B78" s="108"/>
      <c r="C78" s="109"/>
      <c r="D78" s="110" t="s">
        <v>18</v>
      </c>
      <c r="E78" s="12"/>
      <c r="F78" s="12"/>
      <c r="G78" s="12"/>
      <c r="H78" s="172">
        <f>H79+H85+H88</f>
        <v>22186000</v>
      </c>
    </row>
    <row r="79" spans="1:8">
      <c r="A79" s="166"/>
      <c r="B79" s="108">
        <v>70005</v>
      </c>
      <c r="C79" s="109"/>
      <c r="D79" s="110" t="s">
        <v>21</v>
      </c>
      <c r="E79" s="110"/>
      <c r="F79" s="110"/>
      <c r="G79" s="110"/>
      <c r="H79" s="172">
        <f>H80+H82</f>
        <v>18990000</v>
      </c>
    </row>
    <row r="80" spans="1:8">
      <c r="A80" s="166"/>
      <c r="B80" s="108"/>
      <c r="C80" s="109">
        <v>6050</v>
      </c>
      <c r="D80" s="110" t="s">
        <v>98</v>
      </c>
      <c r="E80" s="118"/>
      <c r="F80" s="118"/>
      <c r="G80" s="118"/>
      <c r="H80" s="189">
        <f>H81</f>
        <v>600000</v>
      </c>
    </row>
    <row r="81" spans="1:8" ht="16.5" customHeight="1">
      <c r="A81" s="166"/>
      <c r="B81" s="108"/>
      <c r="C81" s="113"/>
      <c r="D81" s="110" t="s">
        <v>253</v>
      </c>
      <c r="E81" s="132" t="s">
        <v>225</v>
      </c>
      <c r="F81" s="132" t="s">
        <v>226</v>
      </c>
      <c r="G81" s="135">
        <f>1200000-100000+50000</f>
        <v>1150000</v>
      </c>
      <c r="H81" s="189">
        <f>650000-100000+50000</f>
        <v>600000</v>
      </c>
    </row>
    <row r="82" spans="1:8" ht="15" customHeight="1">
      <c r="A82" s="166"/>
      <c r="B82" s="108"/>
      <c r="C82" s="109">
        <v>6060</v>
      </c>
      <c r="D82" s="110" t="s">
        <v>112</v>
      </c>
      <c r="E82" s="132"/>
      <c r="F82" s="132"/>
      <c r="G82" s="135"/>
      <c r="H82" s="189">
        <f>H83+H84</f>
        <v>18390000</v>
      </c>
    </row>
    <row r="83" spans="1:8" ht="12.75" customHeight="1">
      <c r="A83" s="9"/>
      <c r="B83" s="10"/>
      <c r="C83" s="123"/>
      <c r="D83" s="467" t="s">
        <v>252</v>
      </c>
      <c r="E83" s="131" t="s">
        <v>225</v>
      </c>
      <c r="F83" s="131" t="s">
        <v>284</v>
      </c>
      <c r="G83" s="134">
        <f>44759460+1350000+3541693+6000000+300000+300000</f>
        <v>56251153</v>
      </c>
      <c r="H83" s="188">
        <f>2248307+3541693-2000000-1096668-600000+1696668+300000+300000</f>
        <v>4390000</v>
      </c>
    </row>
    <row r="84" spans="1:8" ht="25.5">
      <c r="A84" s="9"/>
      <c r="B84" s="10"/>
      <c r="C84" s="107"/>
      <c r="D84" s="474" t="s">
        <v>512</v>
      </c>
      <c r="E84" s="131" t="s">
        <v>225</v>
      </c>
      <c r="F84" s="132">
        <v>2024</v>
      </c>
      <c r="G84" s="135">
        <v>14000000</v>
      </c>
      <c r="H84" s="189">
        <v>14000000</v>
      </c>
    </row>
    <row r="85" spans="1:8">
      <c r="A85" s="166"/>
      <c r="B85" s="108">
        <v>70007</v>
      </c>
      <c r="C85" s="109"/>
      <c r="D85" s="110" t="s">
        <v>24</v>
      </c>
      <c r="E85" s="110"/>
      <c r="F85" s="110"/>
      <c r="G85" s="110"/>
      <c r="H85" s="172">
        <f>H86</f>
        <v>1000</v>
      </c>
    </row>
    <row r="86" spans="1:8">
      <c r="A86" s="166"/>
      <c r="B86" s="108"/>
      <c r="C86" s="109">
        <v>6050</v>
      </c>
      <c r="D86" s="129" t="s">
        <v>98</v>
      </c>
      <c r="E86" s="151"/>
      <c r="F86" s="151"/>
      <c r="G86" s="157"/>
      <c r="H86" s="193">
        <f>H87</f>
        <v>1000</v>
      </c>
    </row>
    <row r="87" spans="1:8" ht="27" customHeight="1">
      <c r="A87" s="166"/>
      <c r="B87" s="108"/>
      <c r="C87" s="109"/>
      <c r="D87" s="129" t="s">
        <v>289</v>
      </c>
      <c r="E87" s="148" t="s">
        <v>225</v>
      </c>
      <c r="F87" s="151" t="s">
        <v>279</v>
      </c>
      <c r="G87" s="157">
        <f>70000+80000</f>
        <v>150000</v>
      </c>
      <c r="H87" s="193">
        <f>70000-69000</f>
        <v>1000</v>
      </c>
    </row>
    <row r="88" spans="1:8">
      <c r="A88" s="166"/>
      <c r="B88" s="108">
        <v>70095</v>
      </c>
      <c r="C88" s="109"/>
      <c r="D88" s="110" t="s">
        <v>8</v>
      </c>
      <c r="E88" s="110"/>
      <c r="F88" s="110"/>
      <c r="G88" s="110"/>
      <c r="H88" s="172">
        <f>H89</f>
        <v>3195000</v>
      </c>
    </row>
    <row r="89" spans="1:8">
      <c r="A89" s="166"/>
      <c r="B89" s="108"/>
      <c r="C89" s="109">
        <v>6050</v>
      </c>
      <c r="D89" s="110" t="s">
        <v>98</v>
      </c>
      <c r="E89" s="118"/>
      <c r="F89" s="118"/>
      <c r="G89" s="118"/>
      <c r="H89" s="189">
        <f>H90</f>
        <v>3195000</v>
      </c>
    </row>
    <row r="90" spans="1:8" ht="14.25" customHeight="1">
      <c r="A90" s="9"/>
      <c r="B90" s="10"/>
      <c r="C90" s="123"/>
      <c r="D90" s="115" t="s">
        <v>254</v>
      </c>
      <c r="E90" s="131" t="s">
        <v>225</v>
      </c>
      <c r="F90" s="131" t="s">
        <v>236</v>
      </c>
      <c r="G90" s="134">
        <f>4500000+500000</f>
        <v>5000000</v>
      </c>
      <c r="H90" s="188">
        <f>3700000-505000</f>
        <v>3195000</v>
      </c>
    </row>
    <row r="91" spans="1:8">
      <c r="A91" s="166">
        <v>710</v>
      </c>
      <c r="B91" s="108"/>
      <c r="C91" s="109"/>
      <c r="D91" s="110" t="s">
        <v>26</v>
      </c>
      <c r="E91" s="110"/>
      <c r="F91" s="110"/>
      <c r="G91" s="110"/>
      <c r="H91" s="172">
        <f>H92</f>
        <v>240000</v>
      </c>
    </row>
    <row r="92" spans="1:8">
      <c r="A92" s="166"/>
      <c r="B92" s="108">
        <v>71004</v>
      </c>
      <c r="C92" s="109"/>
      <c r="D92" s="110" t="s">
        <v>113</v>
      </c>
      <c r="E92" s="110"/>
      <c r="F92" s="110"/>
      <c r="G92" s="110"/>
      <c r="H92" s="172">
        <f>H93</f>
        <v>240000</v>
      </c>
    </row>
    <row r="93" spans="1:8">
      <c r="A93" s="166"/>
      <c r="B93" s="108"/>
      <c r="C93" s="109">
        <v>6050</v>
      </c>
      <c r="D93" s="110" t="s">
        <v>98</v>
      </c>
      <c r="E93" s="132"/>
      <c r="F93" s="132"/>
      <c r="G93" s="135"/>
      <c r="H93" s="189">
        <f>H94</f>
        <v>240000</v>
      </c>
    </row>
    <row r="94" spans="1:8" ht="24.75" customHeight="1">
      <c r="A94" s="9"/>
      <c r="B94" s="10"/>
      <c r="C94" s="107"/>
      <c r="D94" s="110" t="s">
        <v>256</v>
      </c>
      <c r="E94" s="124" t="s">
        <v>225</v>
      </c>
      <c r="F94" s="124" t="s">
        <v>301</v>
      </c>
      <c r="G94" s="125">
        <f>2026034+190000+100000</f>
        <v>2316034</v>
      </c>
      <c r="H94" s="186">
        <f>200000+190000-150000</f>
        <v>240000</v>
      </c>
    </row>
    <row r="95" spans="1:8">
      <c r="A95" s="166">
        <v>750</v>
      </c>
      <c r="B95" s="108"/>
      <c r="C95" s="109"/>
      <c r="D95" s="110" t="s">
        <v>28</v>
      </c>
      <c r="E95" s="110"/>
      <c r="F95" s="110"/>
      <c r="G95" s="110"/>
      <c r="H95" s="181">
        <f>H96+H101</f>
        <v>838211</v>
      </c>
    </row>
    <row r="96" spans="1:8">
      <c r="A96" s="166"/>
      <c r="B96" s="108">
        <v>75023</v>
      </c>
      <c r="C96" s="109"/>
      <c r="D96" s="110" t="s">
        <v>30</v>
      </c>
      <c r="E96" s="110"/>
      <c r="F96" s="110"/>
      <c r="G96" s="110"/>
      <c r="H96" s="181">
        <f>H97+H99</f>
        <v>150000</v>
      </c>
    </row>
    <row r="97" spans="1:8">
      <c r="A97" s="166"/>
      <c r="B97" s="108"/>
      <c r="C97" s="109">
        <v>6050</v>
      </c>
      <c r="D97" s="110" t="s">
        <v>98</v>
      </c>
      <c r="E97" s="124"/>
      <c r="F97" s="124"/>
      <c r="G97" s="125"/>
      <c r="H97" s="186">
        <f>H98</f>
        <v>0</v>
      </c>
    </row>
    <row r="98" spans="1:8" ht="15.75">
      <c r="A98" s="9"/>
      <c r="B98" s="10"/>
      <c r="C98" s="107"/>
      <c r="D98" s="499" t="s">
        <v>290</v>
      </c>
      <c r="E98" s="124" t="s">
        <v>225</v>
      </c>
      <c r="F98" s="124">
        <v>2024</v>
      </c>
      <c r="G98" s="125">
        <v>0</v>
      </c>
      <c r="H98" s="186">
        <f>100000-100000</f>
        <v>0</v>
      </c>
    </row>
    <row r="99" spans="1:8" ht="15" customHeight="1">
      <c r="A99" s="9"/>
      <c r="B99" s="10"/>
      <c r="C99" s="109">
        <v>6060</v>
      </c>
      <c r="D99" s="110" t="s">
        <v>112</v>
      </c>
      <c r="E99" s="124"/>
      <c r="F99" s="124"/>
      <c r="G99" s="125"/>
      <c r="H99" s="186">
        <f>H100</f>
        <v>150000</v>
      </c>
    </row>
    <row r="100" spans="1:8" ht="14.25" customHeight="1">
      <c r="A100" s="9"/>
      <c r="B100" s="10"/>
      <c r="C100" s="123"/>
      <c r="D100" s="115" t="s">
        <v>257</v>
      </c>
      <c r="E100" s="126" t="s">
        <v>225</v>
      </c>
      <c r="F100" s="126">
        <v>2024</v>
      </c>
      <c r="G100" s="127">
        <v>150000</v>
      </c>
      <c r="H100" s="184">
        <v>150000</v>
      </c>
    </row>
    <row r="101" spans="1:8">
      <c r="A101" s="166"/>
      <c r="B101" s="108">
        <v>75095</v>
      </c>
      <c r="C101" s="109"/>
      <c r="D101" s="110" t="s">
        <v>8</v>
      </c>
      <c r="E101" s="110"/>
      <c r="F101" s="110"/>
      <c r="G101" s="110"/>
      <c r="H101" s="181">
        <f>H102+H105</f>
        <v>688211</v>
      </c>
    </row>
    <row r="102" spans="1:8" ht="15.75" customHeight="1">
      <c r="A102" s="9"/>
      <c r="B102" s="10"/>
      <c r="C102" s="109">
        <v>6067</v>
      </c>
      <c r="D102" s="110" t="s">
        <v>112</v>
      </c>
      <c r="E102" s="204"/>
      <c r="F102" s="145"/>
      <c r="G102" s="146"/>
      <c r="H102" s="195">
        <f>SUM(H103:H104)</f>
        <v>498257</v>
      </c>
    </row>
    <row r="103" spans="1:8" ht="38.25">
      <c r="A103" s="9"/>
      <c r="B103" s="10"/>
      <c r="C103" s="109"/>
      <c r="D103" s="110" t="s">
        <v>291</v>
      </c>
      <c r="E103" s="205" t="s">
        <v>225</v>
      </c>
      <c r="F103" s="126" t="s">
        <v>279</v>
      </c>
      <c r="G103" s="146">
        <v>756500</v>
      </c>
      <c r="H103" s="195">
        <f>756500-529550+271307</f>
        <v>498257</v>
      </c>
    </row>
    <row r="104" spans="1:8" ht="26.25" customHeight="1">
      <c r="A104" s="9"/>
      <c r="B104" s="10"/>
      <c r="C104" s="250"/>
      <c r="D104" s="110" t="s">
        <v>495</v>
      </c>
      <c r="E104" s="124" t="s">
        <v>225</v>
      </c>
      <c r="F104" s="124" t="s">
        <v>408</v>
      </c>
      <c r="G104" s="146">
        <f>2438800+212000-281277</f>
        <v>2369523</v>
      </c>
      <c r="H104" s="195">
        <v>0</v>
      </c>
    </row>
    <row r="105" spans="1:8" ht="18.75" customHeight="1">
      <c r="A105" s="9"/>
      <c r="B105" s="10"/>
      <c r="C105" s="109">
        <v>6069</v>
      </c>
      <c r="D105" s="110" t="s">
        <v>112</v>
      </c>
      <c r="E105" s="204"/>
      <c r="F105" s="145"/>
      <c r="G105" s="146"/>
      <c r="H105" s="195">
        <f>SUM(H106:H107)</f>
        <v>189954</v>
      </c>
    </row>
    <row r="106" spans="1:8" ht="38.25">
      <c r="A106" s="9"/>
      <c r="B106" s="10"/>
      <c r="C106" s="109"/>
      <c r="D106" s="110" t="s">
        <v>298</v>
      </c>
      <c r="E106" s="124" t="s">
        <v>225</v>
      </c>
      <c r="F106" s="126" t="s">
        <v>279</v>
      </c>
      <c r="G106" s="127">
        <v>255404</v>
      </c>
      <c r="H106" s="184">
        <f>255404-65450</f>
        <v>189954</v>
      </c>
    </row>
    <row r="107" spans="1:8" ht="26.25" customHeight="1">
      <c r="A107" s="9"/>
      <c r="B107" s="10"/>
      <c r="C107" s="109"/>
      <c r="D107" s="110" t="s">
        <v>495</v>
      </c>
      <c r="E107" s="124" t="s">
        <v>225</v>
      </c>
      <c r="F107" s="124" t="s">
        <v>408</v>
      </c>
      <c r="G107" s="125">
        <f>1045200+7000+83800-120489</f>
        <v>1015511</v>
      </c>
      <c r="H107" s="186">
        <f>30000+7000-37000</f>
        <v>0</v>
      </c>
    </row>
    <row r="108" spans="1:8" ht="16.5" customHeight="1">
      <c r="A108" s="166">
        <v>754</v>
      </c>
      <c r="B108" s="108"/>
      <c r="C108" s="109"/>
      <c r="D108" s="110" t="s">
        <v>34</v>
      </c>
      <c r="E108" s="110"/>
      <c r="F108" s="110"/>
      <c r="G108" s="110"/>
      <c r="H108" s="172">
        <f>H112+H115+H118+H109</f>
        <v>1212500</v>
      </c>
    </row>
    <row r="109" spans="1:8" ht="15" customHeight="1">
      <c r="A109" s="166"/>
      <c r="B109" s="108">
        <v>75410</v>
      </c>
      <c r="C109" s="109"/>
      <c r="D109" s="110" t="s">
        <v>422</v>
      </c>
      <c r="E109" s="110"/>
      <c r="F109" s="110"/>
      <c r="G109" s="110"/>
      <c r="H109" s="172">
        <f>H110</f>
        <v>39000</v>
      </c>
    </row>
    <row r="110" spans="1:8" ht="23.25" customHeight="1">
      <c r="A110" s="166"/>
      <c r="B110" s="108"/>
      <c r="C110" s="109">
        <v>6170</v>
      </c>
      <c r="D110" s="110" t="s">
        <v>412</v>
      </c>
      <c r="E110" s="110"/>
      <c r="F110" s="110"/>
      <c r="G110" s="110"/>
      <c r="H110" s="172">
        <f>H111</f>
        <v>39000</v>
      </c>
    </row>
    <row r="111" spans="1:8" ht="26.25" customHeight="1">
      <c r="A111" s="166"/>
      <c r="B111" s="108"/>
      <c r="C111" s="109"/>
      <c r="D111" s="110" t="s">
        <v>401</v>
      </c>
      <c r="E111" s="165" t="s">
        <v>225</v>
      </c>
      <c r="F111" s="150">
        <v>2024</v>
      </c>
      <c r="G111" s="143">
        <v>39000</v>
      </c>
      <c r="H111" s="172">
        <v>39000</v>
      </c>
    </row>
    <row r="112" spans="1:8">
      <c r="A112" s="166"/>
      <c r="B112" s="108">
        <v>75414</v>
      </c>
      <c r="C112" s="109"/>
      <c r="D112" s="110" t="s">
        <v>133</v>
      </c>
      <c r="E112" s="110"/>
      <c r="F112" s="110"/>
      <c r="G112" s="110"/>
      <c r="H112" s="172">
        <f>H113</f>
        <v>20000</v>
      </c>
    </row>
    <row r="113" spans="1:8" ht="13.5" customHeight="1">
      <c r="A113" s="166"/>
      <c r="B113" s="108"/>
      <c r="C113" s="109">
        <v>6060</v>
      </c>
      <c r="D113" s="110" t="s">
        <v>112</v>
      </c>
      <c r="E113" s="145"/>
      <c r="F113" s="145"/>
      <c r="G113" s="146"/>
      <c r="H113" s="196">
        <f>H114</f>
        <v>20000</v>
      </c>
    </row>
    <row r="114" spans="1:8" ht="14.25" customHeight="1">
      <c r="A114" s="9"/>
      <c r="B114" s="10"/>
      <c r="C114" s="107"/>
      <c r="D114" s="115" t="s">
        <v>258</v>
      </c>
      <c r="E114" s="126" t="s">
        <v>225</v>
      </c>
      <c r="F114" s="126">
        <v>2024</v>
      </c>
      <c r="G114" s="127">
        <v>20000</v>
      </c>
      <c r="H114" s="187">
        <v>20000</v>
      </c>
    </row>
    <row r="115" spans="1:8">
      <c r="A115" s="166"/>
      <c r="B115" s="108">
        <v>75416</v>
      </c>
      <c r="C115" s="109"/>
      <c r="D115" s="110" t="s">
        <v>35</v>
      </c>
      <c r="E115" s="110"/>
      <c r="F115" s="110"/>
      <c r="G115" s="110"/>
      <c r="H115" s="172">
        <f>H116</f>
        <v>193500</v>
      </c>
    </row>
    <row r="116" spans="1:8" ht="15.75" customHeight="1">
      <c r="A116" s="166"/>
      <c r="B116" s="108"/>
      <c r="C116" s="109">
        <v>6060</v>
      </c>
      <c r="D116" s="110" t="s">
        <v>112</v>
      </c>
      <c r="E116" s="124"/>
      <c r="F116" s="124"/>
      <c r="G116" s="125"/>
      <c r="H116" s="197">
        <f>H117</f>
        <v>193500</v>
      </c>
    </row>
    <row r="117" spans="1:8" ht="13.5" customHeight="1">
      <c r="A117" s="166"/>
      <c r="B117" s="108"/>
      <c r="C117" s="109"/>
      <c r="D117" s="110" t="s">
        <v>286</v>
      </c>
      <c r="E117" s="126" t="s">
        <v>225</v>
      </c>
      <c r="F117" s="126">
        <v>2024</v>
      </c>
      <c r="G117" s="125">
        <f>177000+11000+5500</f>
        <v>193500</v>
      </c>
      <c r="H117" s="197">
        <f>177000+11000+5500</f>
        <v>193500</v>
      </c>
    </row>
    <row r="118" spans="1:8" ht="16.5" customHeight="1">
      <c r="A118" s="166"/>
      <c r="B118" s="108">
        <v>75495</v>
      </c>
      <c r="C118" s="109"/>
      <c r="D118" s="110" t="s">
        <v>8</v>
      </c>
      <c r="E118" s="110"/>
      <c r="F118" s="110"/>
      <c r="G118" s="110"/>
      <c r="H118" s="172">
        <f>H119</f>
        <v>960000</v>
      </c>
    </row>
    <row r="119" spans="1:8">
      <c r="A119" s="166"/>
      <c r="B119" s="108"/>
      <c r="C119" s="109">
        <v>6050</v>
      </c>
      <c r="D119" s="110" t="s">
        <v>98</v>
      </c>
      <c r="E119" s="124"/>
      <c r="F119" s="124"/>
      <c r="G119" s="125"/>
      <c r="H119" s="197">
        <f>SUM(H120:H121)</f>
        <v>960000</v>
      </c>
    </row>
    <row r="120" spans="1:8" ht="15.75">
      <c r="A120" s="9"/>
      <c r="B120" s="10"/>
      <c r="C120" s="107"/>
      <c r="D120" s="110" t="s">
        <v>259</v>
      </c>
      <c r="E120" s="124" t="s">
        <v>225</v>
      </c>
      <c r="F120" s="124" t="s">
        <v>260</v>
      </c>
      <c r="G120" s="125">
        <f>5000000+239000</f>
        <v>5239000</v>
      </c>
      <c r="H120" s="197">
        <f>610000+150000</f>
        <v>760000</v>
      </c>
    </row>
    <row r="121" spans="1:8" ht="25.5">
      <c r="A121" s="9"/>
      <c r="B121" s="10"/>
      <c r="C121" s="107"/>
      <c r="D121" s="110" t="s">
        <v>406</v>
      </c>
      <c r="E121" s="124" t="s">
        <v>225</v>
      </c>
      <c r="F121" s="124" t="s">
        <v>409</v>
      </c>
      <c r="G121" s="125">
        <v>6000000</v>
      </c>
      <c r="H121" s="197">
        <v>200000</v>
      </c>
    </row>
    <row r="122" spans="1:8">
      <c r="A122" s="166">
        <v>801</v>
      </c>
      <c r="B122" s="108"/>
      <c r="C122" s="109"/>
      <c r="D122" s="110" t="s">
        <v>58</v>
      </c>
      <c r="E122" s="110"/>
      <c r="F122" s="110"/>
      <c r="G122" s="110"/>
      <c r="H122" s="172">
        <f>H123+H142+H146</f>
        <v>7918351</v>
      </c>
    </row>
    <row r="123" spans="1:8">
      <c r="A123" s="166"/>
      <c r="B123" s="108">
        <v>80101</v>
      </c>
      <c r="C123" s="109"/>
      <c r="D123" s="110" t="s">
        <v>59</v>
      </c>
      <c r="E123" s="110"/>
      <c r="F123" s="110"/>
      <c r="G123" s="110"/>
      <c r="H123" s="172">
        <f>H124+H132+H137+H140</f>
        <v>7463580</v>
      </c>
    </row>
    <row r="124" spans="1:8" ht="15.75" customHeight="1">
      <c r="A124" s="166"/>
      <c r="B124" s="108"/>
      <c r="C124" s="109">
        <v>6050</v>
      </c>
      <c r="D124" s="110" t="s">
        <v>98</v>
      </c>
      <c r="E124" s="205"/>
      <c r="F124" s="124"/>
      <c r="G124" s="125"/>
      <c r="H124" s="197">
        <f>SUM(H125:H131)</f>
        <v>4747000</v>
      </c>
    </row>
    <row r="125" spans="1:8" ht="24" customHeight="1">
      <c r="A125" s="9"/>
      <c r="B125" s="121"/>
      <c r="C125" s="122"/>
      <c r="D125" s="144" t="s">
        <v>263</v>
      </c>
      <c r="E125" s="131" t="s">
        <v>225</v>
      </c>
      <c r="F125" s="126" t="s">
        <v>231</v>
      </c>
      <c r="G125" s="127">
        <f>19000000+2500000+550000</f>
        <v>22050000</v>
      </c>
      <c r="H125" s="187">
        <f>2050000+550000</f>
        <v>2600000</v>
      </c>
    </row>
    <row r="126" spans="1:8" ht="24" customHeight="1">
      <c r="A126" s="9"/>
      <c r="B126" s="10"/>
      <c r="C126" s="122"/>
      <c r="D126" s="144" t="s">
        <v>518</v>
      </c>
      <c r="E126" s="131" t="s">
        <v>225</v>
      </c>
      <c r="F126" s="126" t="s">
        <v>279</v>
      </c>
      <c r="G126" s="127">
        <v>2500000</v>
      </c>
      <c r="H126" s="187">
        <v>20000</v>
      </c>
    </row>
    <row r="127" spans="1:8" ht="25.5">
      <c r="A127" s="9"/>
      <c r="B127" s="10"/>
      <c r="C127" s="122"/>
      <c r="D127" s="147" t="s">
        <v>265</v>
      </c>
      <c r="E127" s="131" t="s">
        <v>225</v>
      </c>
      <c r="F127" s="148" t="s">
        <v>226</v>
      </c>
      <c r="G127" s="149">
        <f>500000-249000</f>
        <v>251000</v>
      </c>
      <c r="H127" s="401">
        <f>499000-249000</f>
        <v>250000</v>
      </c>
    </row>
    <row r="128" spans="1:8" ht="15" customHeight="1">
      <c r="A128" s="9"/>
      <c r="B128" s="10"/>
      <c r="C128" s="11"/>
      <c r="D128" s="144" t="s">
        <v>285</v>
      </c>
      <c r="E128" s="131" t="s">
        <v>225</v>
      </c>
      <c r="F128" s="131">
        <v>2024</v>
      </c>
      <c r="G128" s="127">
        <f>1200000-60000-100000</f>
        <v>1040000</v>
      </c>
      <c r="H128" s="187">
        <f>1200000-60000-100000</f>
        <v>1040000</v>
      </c>
    </row>
    <row r="129" spans="1:8" ht="15.75">
      <c r="A129" s="9"/>
      <c r="B129" s="10"/>
      <c r="C129" s="11"/>
      <c r="D129" s="115" t="s">
        <v>264</v>
      </c>
      <c r="E129" s="131" t="s">
        <v>225</v>
      </c>
      <c r="F129" s="150" t="s">
        <v>234</v>
      </c>
      <c r="G129" s="149">
        <f>25050000-200000+1100000-5000+200000-180000</f>
        <v>25965000</v>
      </c>
      <c r="H129" s="401">
        <f>1300000-1000000-180000</f>
        <v>120000</v>
      </c>
    </row>
    <row r="130" spans="1:8" ht="15" customHeight="1">
      <c r="A130" s="9"/>
      <c r="B130" s="10"/>
      <c r="C130" s="11"/>
      <c r="D130" s="115" t="s">
        <v>405</v>
      </c>
      <c r="E130" s="131" t="s">
        <v>225</v>
      </c>
      <c r="F130" s="150" t="s">
        <v>408</v>
      </c>
      <c r="G130" s="149">
        <v>2000000</v>
      </c>
      <c r="H130" s="401">
        <f>200000-193000</f>
        <v>7000</v>
      </c>
    </row>
    <row r="131" spans="1:8" ht="15.75">
      <c r="A131" s="9"/>
      <c r="B131" s="10"/>
      <c r="C131" s="122"/>
      <c r="D131" s="115" t="s">
        <v>261</v>
      </c>
      <c r="E131" s="131" t="s">
        <v>225</v>
      </c>
      <c r="F131" s="464" t="s">
        <v>262</v>
      </c>
      <c r="G131" s="465">
        <f>43850000+1400000-470000-935420</f>
        <v>43844580</v>
      </c>
      <c r="H131" s="466">
        <f>3100000-2000000+80000-470000</f>
        <v>710000</v>
      </c>
    </row>
    <row r="132" spans="1:8" ht="14.25" customHeight="1">
      <c r="A132" s="9"/>
      <c r="B132" s="10"/>
      <c r="C132" s="109">
        <v>6060</v>
      </c>
      <c r="D132" s="110" t="s">
        <v>112</v>
      </c>
      <c r="E132" s="131"/>
      <c r="F132" s="131"/>
      <c r="G132" s="127"/>
      <c r="H132" s="187">
        <f>SUM(H133:H136)</f>
        <v>122000</v>
      </c>
    </row>
    <row r="133" spans="1:8" ht="22.5" customHeight="1">
      <c r="A133" s="9"/>
      <c r="B133" s="10"/>
      <c r="C133" s="122"/>
      <c r="D133" s="118" t="s">
        <v>302</v>
      </c>
      <c r="E133" s="132" t="s">
        <v>225</v>
      </c>
      <c r="F133" s="132">
        <v>2024</v>
      </c>
      <c r="G133" s="140">
        <v>50000</v>
      </c>
      <c r="H133" s="197">
        <v>50000</v>
      </c>
    </row>
    <row r="134" spans="1:8" ht="16.5" customHeight="1">
      <c r="A134" s="9"/>
      <c r="B134" s="10"/>
      <c r="C134" s="122"/>
      <c r="D134" s="118" t="s">
        <v>297</v>
      </c>
      <c r="E134" s="132" t="s">
        <v>225</v>
      </c>
      <c r="F134" s="132">
        <v>2024</v>
      </c>
      <c r="G134" s="140">
        <v>30000</v>
      </c>
      <c r="H134" s="197">
        <v>30000</v>
      </c>
    </row>
    <row r="135" spans="1:8" ht="16.5" customHeight="1">
      <c r="A135" s="9"/>
      <c r="B135" s="10"/>
      <c r="C135" s="122"/>
      <c r="D135" s="115" t="s">
        <v>469</v>
      </c>
      <c r="E135" s="131" t="s">
        <v>225</v>
      </c>
      <c r="F135" s="130">
        <v>2024</v>
      </c>
      <c r="G135" s="141">
        <v>30000</v>
      </c>
      <c r="H135" s="196">
        <v>30000</v>
      </c>
    </row>
    <row r="136" spans="1:8" ht="16.5" customHeight="1">
      <c r="A136" s="9"/>
      <c r="B136" s="10"/>
      <c r="C136" s="11"/>
      <c r="D136" s="115" t="s">
        <v>470</v>
      </c>
      <c r="E136" s="131" t="s">
        <v>225</v>
      </c>
      <c r="F136" s="130">
        <v>2024</v>
      </c>
      <c r="G136" s="141">
        <v>12000</v>
      </c>
      <c r="H136" s="196">
        <v>12000</v>
      </c>
    </row>
    <row r="137" spans="1:8" ht="38.25">
      <c r="A137" s="9"/>
      <c r="B137" s="10"/>
      <c r="C137" s="109">
        <v>6370</v>
      </c>
      <c r="D137" s="110" t="s">
        <v>215</v>
      </c>
      <c r="E137" s="136"/>
      <c r="F137" s="130"/>
      <c r="G137" s="141"/>
      <c r="H137" s="196">
        <f>SUM(H138:H139)</f>
        <v>1894580</v>
      </c>
    </row>
    <row r="138" spans="1:8" ht="15.75">
      <c r="A138" s="9"/>
      <c r="B138" s="10"/>
      <c r="C138" s="122"/>
      <c r="D138" s="115" t="s">
        <v>264</v>
      </c>
      <c r="E138" s="131" t="s">
        <v>225</v>
      </c>
      <c r="F138" s="131"/>
      <c r="G138" s="140"/>
      <c r="H138" s="187">
        <v>1000000</v>
      </c>
    </row>
    <row r="139" spans="1:8" ht="15.75">
      <c r="A139" s="9"/>
      <c r="B139" s="10"/>
      <c r="C139" s="11"/>
      <c r="D139" s="115" t="s">
        <v>261</v>
      </c>
      <c r="E139" s="131" t="s">
        <v>225</v>
      </c>
      <c r="F139" s="132"/>
      <c r="G139" s="206"/>
      <c r="H139" s="197">
        <f>2000000-935420-170000</f>
        <v>894580</v>
      </c>
    </row>
    <row r="140" spans="1:8" ht="25.5" customHeight="1">
      <c r="A140" s="9"/>
      <c r="B140" s="10"/>
      <c r="C140" s="109">
        <v>6580</v>
      </c>
      <c r="D140" s="110" t="s">
        <v>311</v>
      </c>
      <c r="E140" s="132"/>
      <c r="F140" s="132"/>
      <c r="G140" s="206"/>
      <c r="H140" s="197">
        <f>H141</f>
        <v>700000</v>
      </c>
    </row>
    <row r="141" spans="1:8" ht="15.75">
      <c r="A141" s="9"/>
      <c r="B141" s="10"/>
      <c r="C141" s="11"/>
      <c r="D141" s="207" t="s">
        <v>292</v>
      </c>
      <c r="E141" s="151" t="s">
        <v>225</v>
      </c>
      <c r="F141" s="164" t="s">
        <v>279</v>
      </c>
      <c r="G141" s="206">
        <v>1500000</v>
      </c>
      <c r="H141" s="197">
        <f>800000-100000</f>
        <v>700000</v>
      </c>
    </row>
    <row r="142" spans="1:8">
      <c r="A142" s="166"/>
      <c r="B142" s="108">
        <v>80104</v>
      </c>
      <c r="C142" s="109"/>
      <c r="D142" s="110" t="s">
        <v>62</v>
      </c>
      <c r="E142" s="110"/>
      <c r="F142" s="110"/>
      <c r="G142" s="110"/>
      <c r="H142" s="172">
        <f>H143</f>
        <v>360000</v>
      </c>
    </row>
    <row r="143" spans="1:8" ht="15.75">
      <c r="A143" s="9"/>
      <c r="B143" s="10"/>
      <c r="C143" s="109">
        <v>6050</v>
      </c>
      <c r="D143" s="110" t="s">
        <v>98</v>
      </c>
      <c r="E143" s="151"/>
      <c r="F143" s="164"/>
      <c r="G143" s="206"/>
      <c r="H143" s="197">
        <f>H144+H145</f>
        <v>360000</v>
      </c>
    </row>
    <row r="144" spans="1:8" ht="25.5">
      <c r="A144" s="9"/>
      <c r="B144" s="10"/>
      <c r="C144" s="11"/>
      <c r="D144" s="207" t="s">
        <v>404</v>
      </c>
      <c r="E144" s="131" t="s">
        <v>225</v>
      </c>
      <c r="F144" s="130">
        <v>2024</v>
      </c>
      <c r="G144" s="206">
        <v>260000</v>
      </c>
      <c r="H144" s="197">
        <v>260000</v>
      </c>
    </row>
    <row r="145" spans="1:8" ht="25.5">
      <c r="A145" s="9"/>
      <c r="B145" s="10"/>
      <c r="C145" s="11"/>
      <c r="D145" s="207" t="s">
        <v>413</v>
      </c>
      <c r="E145" s="131" t="s">
        <v>225</v>
      </c>
      <c r="F145" s="131">
        <v>2024</v>
      </c>
      <c r="G145" s="206">
        <v>100000</v>
      </c>
      <c r="H145" s="197">
        <v>100000</v>
      </c>
    </row>
    <row r="146" spans="1:8">
      <c r="A146" s="166"/>
      <c r="B146" s="108">
        <v>80195</v>
      </c>
      <c r="C146" s="109"/>
      <c r="D146" s="110" t="s">
        <v>8</v>
      </c>
      <c r="E146" s="110"/>
      <c r="F146" s="110"/>
      <c r="G146" s="110"/>
      <c r="H146" s="172">
        <f>H148+H150</f>
        <v>94771</v>
      </c>
    </row>
    <row r="147" spans="1:8">
      <c r="A147" s="166"/>
      <c r="B147" s="108"/>
      <c r="C147" s="109">
        <v>6057</v>
      </c>
      <c r="D147" s="110" t="s">
        <v>98</v>
      </c>
      <c r="E147" s="118"/>
      <c r="F147" s="130"/>
      <c r="G147" s="110"/>
      <c r="H147" s="189"/>
    </row>
    <row r="148" spans="1:8" ht="40.5" customHeight="1">
      <c r="A148" s="9"/>
      <c r="B148" s="10"/>
      <c r="C148" s="11"/>
      <c r="D148" s="498" t="s">
        <v>411</v>
      </c>
      <c r="E148" s="131" t="s">
        <v>225</v>
      </c>
      <c r="F148" s="131" t="s">
        <v>409</v>
      </c>
      <c r="G148" s="206">
        <f>94400-11475.37</f>
        <v>82924.63</v>
      </c>
      <c r="H148" s="197">
        <f>94400-11475.37</f>
        <v>82924.63</v>
      </c>
    </row>
    <row r="149" spans="1:8">
      <c r="A149" s="166"/>
      <c r="B149" s="108"/>
      <c r="C149" s="109">
        <v>6059</v>
      </c>
      <c r="D149" s="110" t="s">
        <v>98</v>
      </c>
      <c r="E149" s="118"/>
      <c r="F149" s="130"/>
      <c r="G149" s="110"/>
      <c r="H149" s="189"/>
    </row>
    <row r="150" spans="1:8" ht="40.5" customHeight="1">
      <c r="A150" s="9"/>
      <c r="B150" s="10"/>
      <c r="C150" s="11"/>
      <c r="D150" s="498" t="s">
        <v>411</v>
      </c>
      <c r="E150" s="131" t="s">
        <v>225</v>
      </c>
      <c r="F150" s="131" t="s">
        <v>409</v>
      </c>
      <c r="G150" s="206">
        <v>11846</v>
      </c>
      <c r="H150" s="197">
        <v>11846.37</v>
      </c>
    </row>
    <row r="151" spans="1:8">
      <c r="A151" s="166">
        <v>851</v>
      </c>
      <c r="B151" s="108"/>
      <c r="C151" s="109"/>
      <c r="D151" s="110" t="s">
        <v>155</v>
      </c>
      <c r="E151" s="114"/>
      <c r="F151" s="114"/>
      <c r="G151" s="114"/>
      <c r="H151" s="416">
        <f>H153</f>
        <v>102000</v>
      </c>
    </row>
    <row r="152" spans="1:8">
      <c r="A152" s="166"/>
      <c r="B152" s="108">
        <v>85154</v>
      </c>
      <c r="C152" s="109"/>
      <c r="D152" s="110" t="s">
        <v>157</v>
      </c>
      <c r="E152" s="114">
        <f>SUM(E153)</f>
        <v>0</v>
      </c>
      <c r="F152" s="114">
        <f>SUM(F153)</f>
        <v>0</v>
      </c>
      <c r="G152" s="114">
        <f>SUM(G153)</f>
        <v>0</v>
      </c>
      <c r="H152" s="114">
        <f>SUM(H153)</f>
        <v>102000</v>
      </c>
    </row>
    <row r="153" spans="1:8" ht="15.75">
      <c r="A153" s="9"/>
      <c r="B153" s="10"/>
      <c r="C153" s="109">
        <v>6050</v>
      </c>
      <c r="D153" s="110" t="s">
        <v>98</v>
      </c>
      <c r="E153" s="132"/>
      <c r="F153" s="132"/>
      <c r="G153" s="206"/>
      <c r="H153" s="197">
        <f>H154</f>
        <v>102000</v>
      </c>
    </row>
    <row r="154" spans="1:8" ht="36.75" customHeight="1">
      <c r="A154" s="9"/>
      <c r="B154" s="10"/>
      <c r="C154" s="11"/>
      <c r="D154" s="207" t="s">
        <v>494</v>
      </c>
      <c r="E154" s="131" t="s">
        <v>225</v>
      </c>
      <c r="F154" s="132">
        <v>2024</v>
      </c>
      <c r="G154" s="206">
        <v>102000</v>
      </c>
      <c r="H154" s="197">
        <v>102000</v>
      </c>
    </row>
    <row r="155" spans="1:8">
      <c r="A155" s="166">
        <v>852</v>
      </c>
      <c r="B155" s="108"/>
      <c r="C155" s="109"/>
      <c r="D155" s="110" t="s">
        <v>67</v>
      </c>
      <c r="E155" s="114"/>
      <c r="F155" s="114"/>
      <c r="G155" s="114"/>
      <c r="H155" s="415">
        <f>H156</f>
        <v>205410</v>
      </c>
    </row>
    <row r="156" spans="1:8">
      <c r="A156" s="166"/>
      <c r="B156" s="108">
        <v>85232</v>
      </c>
      <c r="C156" s="109"/>
      <c r="D156" s="110" t="s">
        <v>76</v>
      </c>
      <c r="E156" s="114"/>
      <c r="F156" s="114"/>
      <c r="G156" s="114"/>
      <c r="H156" s="416">
        <f>H157+H159+H161+H163</f>
        <v>205410</v>
      </c>
    </row>
    <row r="157" spans="1:8">
      <c r="A157" s="166"/>
      <c r="B157" s="108"/>
      <c r="C157" s="109">
        <v>6057</v>
      </c>
      <c r="D157" s="110" t="s">
        <v>98</v>
      </c>
      <c r="E157" s="120"/>
      <c r="F157" s="120"/>
      <c r="G157" s="114"/>
      <c r="H157" s="416">
        <f>H158</f>
        <v>29000</v>
      </c>
    </row>
    <row r="158" spans="1:8" ht="25.5">
      <c r="A158" s="166"/>
      <c r="B158" s="108"/>
      <c r="C158" s="109"/>
      <c r="D158" s="110" t="s">
        <v>464</v>
      </c>
      <c r="E158" s="131" t="s">
        <v>225</v>
      </c>
      <c r="F158" s="131">
        <v>2024</v>
      </c>
      <c r="G158" s="206">
        <f>138000-109000</f>
        <v>29000</v>
      </c>
      <c r="H158" s="416">
        <f>138000-109000</f>
        <v>29000</v>
      </c>
    </row>
    <row r="159" spans="1:8">
      <c r="A159" s="166"/>
      <c r="B159" s="108"/>
      <c r="C159" s="109">
        <v>6059</v>
      </c>
      <c r="D159" s="110" t="s">
        <v>98</v>
      </c>
      <c r="E159" s="120"/>
      <c r="F159" s="120"/>
      <c r="G159" s="206"/>
      <c r="H159" s="416">
        <f>H160</f>
        <v>6670</v>
      </c>
    </row>
    <row r="160" spans="1:8" ht="25.5" customHeight="1">
      <c r="A160" s="166"/>
      <c r="B160" s="108"/>
      <c r="C160" s="109"/>
      <c r="D160" s="110" t="s">
        <v>464</v>
      </c>
      <c r="E160" s="131" t="s">
        <v>225</v>
      </c>
      <c r="F160" s="131">
        <v>2024</v>
      </c>
      <c r="G160" s="206">
        <f>31740-25070</f>
        <v>6670</v>
      </c>
      <c r="H160" s="416">
        <f>31740-25070</f>
        <v>6670</v>
      </c>
    </row>
    <row r="161" spans="1:8" ht="15" customHeight="1">
      <c r="A161" s="166"/>
      <c r="B161" s="108"/>
      <c r="C161" s="109">
        <v>6067</v>
      </c>
      <c r="D161" s="110" t="s">
        <v>112</v>
      </c>
      <c r="E161" s="120"/>
      <c r="F161" s="120"/>
      <c r="G161" s="206"/>
      <c r="H161" s="416">
        <f>H162</f>
        <v>138000</v>
      </c>
    </row>
    <row r="162" spans="1:8" ht="25.5">
      <c r="A162" s="166"/>
      <c r="B162" s="108"/>
      <c r="C162" s="109"/>
      <c r="D162" s="110" t="s">
        <v>464</v>
      </c>
      <c r="E162" s="131" t="s">
        <v>225</v>
      </c>
      <c r="F162" s="131">
        <v>2024</v>
      </c>
      <c r="G162" s="206">
        <f>29000+109000</f>
        <v>138000</v>
      </c>
      <c r="H162" s="416">
        <f>29000+109000</f>
        <v>138000</v>
      </c>
    </row>
    <row r="163" spans="1:8" ht="15.75">
      <c r="A163" s="9"/>
      <c r="B163" s="10"/>
      <c r="C163" s="109">
        <v>6069</v>
      </c>
      <c r="D163" s="110" t="s">
        <v>112</v>
      </c>
      <c r="E163" s="132"/>
      <c r="F163" s="132"/>
      <c r="G163" s="206"/>
      <c r="H163" s="197">
        <f>H164</f>
        <v>31740</v>
      </c>
    </row>
    <row r="164" spans="1:8" ht="25.5">
      <c r="A164" s="9"/>
      <c r="B164" s="10"/>
      <c r="C164" s="109"/>
      <c r="D164" s="110" t="s">
        <v>464</v>
      </c>
      <c r="E164" s="131" t="s">
        <v>225</v>
      </c>
      <c r="F164" s="131">
        <v>2024</v>
      </c>
      <c r="G164" s="206">
        <f>6670+25070</f>
        <v>31740</v>
      </c>
      <c r="H164" s="197">
        <f>6670+25070</f>
        <v>31740</v>
      </c>
    </row>
    <row r="165" spans="1:8">
      <c r="A165" s="166">
        <v>900</v>
      </c>
      <c r="B165" s="108"/>
      <c r="C165" s="109"/>
      <c r="D165" s="110" t="s">
        <v>84</v>
      </c>
      <c r="E165" s="110"/>
      <c r="F165" s="110"/>
      <c r="G165" s="110"/>
      <c r="H165" s="172">
        <f>H166+H169+H172+H178</f>
        <v>2807886.66</v>
      </c>
    </row>
    <row r="166" spans="1:8">
      <c r="A166" s="166"/>
      <c r="B166" s="108">
        <v>90001</v>
      </c>
      <c r="C166" s="109"/>
      <c r="D166" s="110" t="s">
        <v>85</v>
      </c>
      <c r="E166" s="114"/>
      <c r="F166" s="114"/>
      <c r="G166" s="110"/>
      <c r="H166" s="172">
        <f>H167</f>
        <v>160000</v>
      </c>
    </row>
    <row r="167" spans="1:8" ht="38.25">
      <c r="A167" s="166"/>
      <c r="B167" s="108"/>
      <c r="C167" s="109">
        <v>6230</v>
      </c>
      <c r="D167" s="110" t="s">
        <v>168</v>
      </c>
      <c r="E167" s="110"/>
      <c r="F167" s="110"/>
      <c r="G167" s="110"/>
      <c r="H167" s="172">
        <f>H168</f>
        <v>160000</v>
      </c>
    </row>
    <row r="168" spans="1:8" ht="25.5">
      <c r="A168" s="166"/>
      <c r="B168" s="108"/>
      <c r="C168" s="109"/>
      <c r="D168" s="115" t="s">
        <v>267</v>
      </c>
      <c r="E168" s="131" t="s">
        <v>225</v>
      </c>
      <c r="F168" s="131">
        <v>2024</v>
      </c>
      <c r="G168" s="138">
        <f>180000-20000</f>
        <v>160000</v>
      </c>
      <c r="H168" s="188">
        <f>180000-20000</f>
        <v>160000</v>
      </c>
    </row>
    <row r="169" spans="1:8">
      <c r="A169" s="166"/>
      <c r="B169" s="108">
        <v>90005</v>
      </c>
      <c r="C169" s="109"/>
      <c r="D169" s="110" t="s">
        <v>87</v>
      </c>
      <c r="E169" s="110"/>
      <c r="F169" s="110"/>
      <c r="G169" s="110"/>
      <c r="H169" s="172">
        <f>H170</f>
        <v>345000</v>
      </c>
    </row>
    <row r="170" spans="1:8" ht="36.75" customHeight="1">
      <c r="A170" s="166"/>
      <c r="B170" s="108"/>
      <c r="C170" s="109">
        <v>6230</v>
      </c>
      <c r="D170" s="110" t="s">
        <v>168</v>
      </c>
      <c r="E170" s="131"/>
      <c r="F170" s="131"/>
      <c r="G170" s="140"/>
      <c r="H170" s="187">
        <f>SUM(H171:H171)</f>
        <v>345000</v>
      </c>
    </row>
    <row r="171" spans="1:8" ht="24.75" customHeight="1">
      <c r="A171" s="9"/>
      <c r="B171" s="10"/>
      <c r="C171" s="11"/>
      <c r="D171" s="115" t="s">
        <v>266</v>
      </c>
      <c r="E171" s="130" t="s">
        <v>225</v>
      </c>
      <c r="F171" s="130">
        <v>2024</v>
      </c>
      <c r="G171" s="142">
        <f>220000+56000+69000</f>
        <v>345000</v>
      </c>
      <c r="H171" s="190">
        <f>220000+56000+69000</f>
        <v>345000</v>
      </c>
    </row>
    <row r="172" spans="1:8" ht="14.25" customHeight="1">
      <c r="A172" s="9"/>
      <c r="B172" s="108">
        <v>90015</v>
      </c>
      <c r="C172" s="109"/>
      <c r="D172" s="110" t="s">
        <v>172</v>
      </c>
      <c r="E172" s="115"/>
      <c r="F172" s="115"/>
      <c r="G172" s="115"/>
      <c r="H172" s="171">
        <f>H173+H176</f>
        <v>1527567.6600000001</v>
      </c>
    </row>
    <row r="173" spans="1:8" ht="15.75">
      <c r="A173" s="9"/>
      <c r="B173" s="108"/>
      <c r="C173" s="109">
        <v>6050</v>
      </c>
      <c r="D173" s="110" t="s">
        <v>98</v>
      </c>
      <c r="E173" s="133"/>
      <c r="F173" s="131"/>
      <c r="G173" s="140"/>
      <c r="H173" s="187">
        <f>H174+H175</f>
        <v>1000000</v>
      </c>
    </row>
    <row r="174" spans="1:8" ht="15.75">
      <c r="A174" s="9"/>
      <c r="B174" s="108"/>
      <c r="C174" s="109"/>
      <c r="D174" s="110" t="s">
        <v>471</v>
      </c>
      <c r="E174" s="132" t="s">
        <v>225</v>
      </c>
      <c r="F174" s="131">
        <v>2024</v>
      </c>
      <c r="G174" s="140">
        <f>1000000-335920</f>
        <v>664080</v>
      </c>
      <c r="H174" s="187">
        <f>1000000-335920+180000</f>
        <v>844080</v>
      </c>
    </row>
    <row r="175" spans="1:8" ht="15" customHeight="1">
      <c r="A175" s="9"/>
      <c r="B175" s="108"/>
      <c r="C175" s="109"/>
      <c r="D175" s="110" t="s">
        <v>402</v>
      </c>
      <c r="E175" s="132" t="s">
        <v>225</v>
      </c>
      <c r="F175" s="131">
        <v>2024</v>
      </c>
      <c r="G175" s="140">
        <v>335920</v>
      </c>
      <c r="H175" s="187">
        <f>335920-180000</f>
        <v>155920</v>
      </c>
    </row>
    <row r="176" spans="1:8" ht="38.25">
      <c r="A176" s="9"/>
      <c r="B176" s="108"/>
      <c r="C176" s="128">
        <v>6370</v>
      </c>
      <c r="D176" s="129" t="s">
        <v>215</v>
      </c>
      <c r="E176" s="132"/>
      <c r="F176" s="131"/>
      <c r="G176" s="140"/>
      <c r="H176" s="187">
        <f>H177</f>
        <v>527567.66</v>
      </c>
    </row>
    <row r="177" spans="1:8" ht="16.5" customHeight="1">
      <c r="A177" s="9"/>
      <c r="B177" s="10"/>
      <c r="C177" s="11"/>
      <c r="D177" s="110" t="s">
        <v>471</v>
      </c>
      <c r="E177" s="132" t="s">
        <v>225</v>
      </c>
      <c r="F177" s="131">
        <v>2024</v>
      </c>
      <c r="G177" s="140">
        <f>1343680-816112.34</f>
        <v>527567.66</v>
      </c>
      <c r="H177" s="187">
        <f>1343680-816112.34</f>
        <v>527567.66</v>
      </c>
    </row>
    <row r="178" spans="1:8">
      <c r="A178" s="166"/>
      <c r="B178" s="108">
        <v>90095</v>
      </c>
      <c r="C178" s="109"/>
      <c r="D178" s="110" t="s">
        <v>8</v>
      </c>
      <c r="E178" s="114"/>
      <c r="F178" s="114"/>
      <c r="G178" s="114"/>
      <c r="H178" s="416">
        <f>H179+H181</f>
        <v>775319</v>
      </c>
    </row>
    <row r="179" spans="1:8" ht="16.5" customHeight="1">
      <c r="A179" s="9"/>
      <c r="B179" s="10"/>
      <c r="C179" s="109">
        <v>6050</v>
      </c>
      <c r="D179" s="110" t="s">
        <v>98</v>
      </c>
      <c r="E179" s="132"/>
      <c r="F179" s="132"/>
      <c r="G179" s="206"/>
      <c r="H179" s="197">
        <f>SUM(H180)</f>
        <v>175319</v>
      </c>
    </row>
    <row r="180" spans="1:8" ht="48" customHeight="1">
      <c r="A180" s="9"/>
      <c r="B180" s="10"/>
      <c r="C180" s="11"/>
      <c r="D180" s="110" t="s">
        <v>485</v>
      </c>
      <c r="E180" s="132" t="s">
        <v>225</v>
      </c>
      <c r="F180" s="131">
        <v>2024</v>
      </c>
      <c r="G180" s="206">
        <v>175319</v>
      </c>
      <c r="H180" s="197">
        <v>175319</v>
      </c>
    </row>
    <row r="181" spans="1:8" ht="15.75">
      <c r="A181" s="9"/>
      <c r="B181" s="10"/>
      <c r="C181" s="109">
        <v>6010</v>
      </c>
      <c r="D181" s="110" t="s">
        <v>399</v>
      </c>
      <c r="E181" s="132"/>
      <c r="F181" s="132"/>
      <c r="G181" s="206"/>
      <c r="H181" s="197">
        <f>H182</f>
        <v>600000</v>
      </c>
    </row>
    <row r="182" spans="1:8" ht="15.75">
      <c r="A182" s="9"/>
      <c r="B182" s="10"/>
      <c r="C182" s="113"/>
      <c r="D182" s="110" t="s">
        <v>487</v>
      </c>
      <c r="E182" s="131" t="s">
        <v>225</v>
      </c>
      <c r="F182" s="131">
        <v>2024</v>
      </c>
      <c r="G182" s="206">
        <v>600000</v>
      </c>
      <c r="H182" s="197">
        <v>600000</v>
      </c>
    </row>
    <row r="183" spans="1:8">
      <c r="A183" s="166">
        <v>921</v>
      </c>
      <c r="B183" s="108"/>
      <c r="C183" s="109"/>
      <c r="D183" s="110" t="s">
        <v>175</v>
      </c>
      <c r="E183" s="110"/>
      <c r="F183" s="110"/>
      <c r="G183" s="110"/>
      <c r="H183" s="172">
        <f>H184+H189</f>
        <v>2190000.65</v>
      </c>
    </row>
    <row r="184" spans="1:8">
      <c r="A184" s="166"/>
      <c r="B184" s="108">
        <v>92109</v>
      </c>
      <c r="C184" s="109"/>
      <c r="D184" s="110" t="s">
        <v>177</v>
      </c>
      <c r="E184" s="110"/>
      <c r="F184" s="110"/>
      <c r="G184" s="110"/>
      <c r="H184" s="172">
        <f>H185+H187</f>
        <v>1240000.6499999999</v>
      </c>
    </row>
    <row r="185" spans="1:8">
      <c r="A185" s="166"/>
      <c r="B185" s="108"/>
      <c r="C185" s="109">
        <v>6050</v>
      </c>
      <c r="D185" s="110" t="s">
        <v>98</v>
      </c>
      <c r="E185" s="208"/>
      <c r="F185" s="132"/>
      <c r="G185" s="143"/>
      <c r="H185" s="189">
        <f>H186</f>
        <v>240000</v>
      </c>
    </row>
    <row r="186" spans="1:8" ht="14.25" customHeight="1">
      <c r="A186" s="9"/>
      <c r="B186" s="10"/>
      <c r="C186" s="11"/>
      <c r="D186" s="110" t="s">
        <v>268</v>
      </c>
      <c r="E186" s="132" t="s">
        <v>225</v>
      </c>
      <c r="F186" s="151" t="s">
        <v>231</v>
      </c>
      <c r="G186" s="463">
        <f>3445000+1050000+200000-130000+0.65-500000</f>
        <v>4065000.6500000004</v>
      </c>
      <c r="H186" s="189">
        <f>200000+630000-130000-460000</f>
        <v>240000</v>
      </c>
    </row>
    <row r="187" spans="1:8" ht="38.25">
      <c r="A187" s="9"/>
      <c r="B187" s="10"/>
      <c r="C187" s="128">
        <v>6370</v>
      </c>
      <c r="D187" s="129" t="s">
        <v>215</v>
      </c>
      <c r="E187" s="132"/>
      <c r="F187" s="151"/>
      <c r="G187" s="152"/>
      <c r="H187" s="189">
        <f>H188</f>
        <v>1000000.65</v>
      </c>
    </row>
    <row r="188" spans="1:8" ht="15.75" customHeight="1">
      <c r="A188" s="9"/>
      <c r="B188" s="10"/>
      <c r="C188" s="128"/>
      <c r="D188" s="110" t="s">
        <v>268</v>
      </c>
      <c r="E188" s="132" t="s">
        <v>225</v>
      </c>
      <c r="F188" s="151"/>
      <c r="G188" s="152"/>
      <c r="H188" s="189">
        <f>1000000+0.65</f>
        <v>1000000.65</v>
      </c>
    </row>
    <row r="189" spans="1:8">
      <c r="A189" s="166"/>
      <c r="B189" s="108">
        <v>92120</v>
      </c>
      <c r="C189" s="109"/>
      <c r="D189" s="110" t="s">
        <v>180</v>
      </c>
      <c r="E189" s="110"/>
      <c r="F189" s="110"/>
      <c r="G189" s="110"/>
      <c r="H189" s="172">
        <f>H190+H193+H195</f>
        <v>950000</v>
      </c>
    </row>
    <row r="190" spans="1:8">
      <c r="A190" s="166"/>
      <c r="B190" s="108"/>
      <c r="C190" s="109">
        <v>6050</v>
      </c>
      <c r="D190" s="110" t="s">
        <v>98</v>
      </c>
      <c r="E190" s="136"/>
      <c r="F190" s="136"/>
      <c r="G190" s="139"/>
      <c r="H190" s="192">
        <f>H191+H192</f>
        <v>832000</v>
      </c>
    </row>
    <row r="191" spans="1:8" ht="25.5">
      <c r="A191" s="9"/>
      <c r="B191" s="10"/>
      <c r="C191" s="122"/>
      <c r="D191" s="115" t="s">
        <v>269</v>
      </c>
      <c r="E191" s="131" t="s">
        <v>225</v>
      </c>
      <c r="F191" s="153" t="s">
        <v>465</v>
      </c>
      <c r="G191" s="154">
        <f>1031000+7000000</f>
        <v>8031000</v>
      </c>
      <c r="H191" s="190">
        <f>100000+750000-118000</f>
        <v>732000</v>
      </c>
    </row>
    <row r="192" spans="1:8" ht="15.75">
      <c r="A192" s="9"/>
      <c r="B192" s="10"/>
      <c r="C192" s="11"/>
      <c r="D192" s="110" t="s">
        <v>410</v>
      </c>
      <c r="E192" s="131" t="s">
        <v>225</v>
      </c>
      <c r="F192" s="153" t="s">
        <v>408</v>
      </c>
      <c r="G192" s="154">
        <f>2000000+2700000</f>
        <v>4700000</v>
      </c>
      <c r="H192" s="190">
        <v>100000</v>
      </c>
    </row>
    <row r="193" spans="1:8" ht="38.25">
      <c r="A193" s="9"/>
      <c r="B193" s="10"/>
      <c r="C193" s="128">
        <v>6370</v>
      </c>
      <c r="D193" s="129" t="s">
        <v>215</v>
      </c>
      <c r="E193" s="136"/>
      <c r="F193" s="130"/>
      <c r="G193" s="142"/>
      <c r="H193" s="170">
        <f>H194</f>
        <v>118000</v>
      </c>
    </row>
    <row r="194" spans="1:8" ht="25.5">
      <c r="A194" s="9"/>
      <c r="B194" s="10"/>
      <c r="C194" s="122"/>
      <c r="D194" s="115" t="s">
        <v>269</v>
      </c>
      <c r="E194" s="131" t="s">
        <v>225</v>
      </c>
      <c r="F194" s="130" t="s">
        <v>492</v>
      </c>
      <c r="G194" s="142"/>
      <c r="H194" s="170">
        <v>118000</v>
      </c>
    </row>
    <row r="195" spans="1:8" ht="51">
      <c r="A195" s="9"/>
      <c r="B195" s="10"/>
      <c r="C195" s="128">
        <v>6570</v>
      </c>
      <c r="D195" s="129" t="s">
        <v>218</v>
      </c>
      <c r="E195" s="130"/>
      <c r="F195" s="130"/>
      <c r="G195" s="142"/>
      <c r="H195" s="170">
        <f>SUM(H196:H197)</f>
        <v>0</v>
      </c>
    </row>
    <row r="196" spans="1:8" ht="25.5">
      <c r="A196" s="9"/>
      <c r="B196" s="10"/>
      <c r="C196" s="122"/>
      <c r="D196" s="112" t="s">
        <v>293</v>
      </c>
      <c r="E196" s="131" t="s">
        <v>225</v>
      </c>
      <c r="F196" s="130" t="s">
        <v>279</v>
      </c>
      <c r="G196" s="142">
        <f>352800+7200</f>
        <v>360000</v>
      </c>
      <c r="H196" s="170">
        <f>352800+7200-360000</f>
        <v>0</v>
      </c>
    </row>
    <row r="197" spans="1:8" ht="25.5">
      <c r="A197" s="9"/>
      <c r="B197" s="121"/>
      <c r="C197" s="122"/>
      <c r="D197" s="115" t="s">
        <v>294</v>
      </c>
      <c r="E197" s="131" t="s">
        <v>225</v>
      </c>
      <c r="F197" s="131" t="s">
        <v>279</v>
      </c>
      <c r="G197" s="138">
        <f>490000+10000</f>
        <v>500000</v>
      </c>
      <c r="H197" s="171">
        <f>490000+10000-500000</f>
        <v>0</v>
      </c>
    </row>
    <row r="198" spans="1:8">
      <c r="A198" s="180">
        <v>926</v>
      </c>
      <c r="B198" s="108"/>
      <c r="C198" s="109"/>
      <c r="D198" s="110" t="s">
        <v>89</v>
      </c>
      <c r="E198" s="110"/>
      <c r="F198" s="110"/>
      <c r="G198" s="110"/>
      <c r="H198" s="172">
        <f>H199+H211+H214</f>
        <v>2172000</v>
      </c>
    </row>
    <row r="199" spans="1:8">
      <c r="A199" s="166"/>
      <c r="B199" s="108">
        <v>92601</v>
      </c>
      <c r="C199" s="109"/>
      <c r="D199" s="110" t="s">
        <v>181</v>
      </c>
      <c r="E199" s="110"/>
      <c r="F199" s="110"/>
      <c r="G199" s="110"/>
      <c r="H199" s="172">
        <f>H200</f>
        <v>1070000</v>
      </c>
    </row>
    <row r="200" spans="1:8">
      <c r="A200" s="166"/>
      <c r="B200" s="108"/>
      <c r="C200" s="109">
        <v>6050</v>
      </c>
      <c r="D200" s="115" t="s">
        <v>98</v>
      </c>
      <c r="E200" s="133"/>
      <c r="F200" s="131"/>
      <c r="G200" s="138"/>
      <c r="H200" s="171">
        <f>SUM(H201:H210)</f>
        <v>1070000</v>
      </c>
    </row>
    <row r="201" spans="1:8" ht="15.75">
      <c r="A201" s="9"/>
      <c r="B201" s="10"/>
      <c r="C201" s="122"/>
      <c r="D201" s="110" t="s">
        <v>270</v>
      </c>
      <c r="E201" s="132" t="s">
        <v>225</v>
      </c>
      <c r="F201" s="132" t="s">
        <v>255</v>
      </c>
      <c r="G201" s="143">
        <f>550000+150000-60000</f>
        <v>640000</v>
      </c>
      <c r="H201" s="172">
        <f>400000-250000+250000-60000</f>
        <v>340000</v>
      </c>
    </row>
    <row r="202" spans="1:8" ht="25.5">
      <c r="A202" s="9"/>
      <c r="B202" s="10"/>
      <c r="C202" s="122"/>
      <c r="D202" s="209" t="s">
        <v>491</v>
      </c>
      <c r="E202" s="132" t="s">
        <v>225</v>
      </c>
      <c r="F202" s="132">
        <v>2024</v>
      </c>
      <c r="G202" s="143">
        <v>170000</v>
      </c>
      <c r="H202" s="172">
        <v>170000</v>
      </c>
    </row>
    <row r="203" spans="1:8" ht="13.5" customHeight="1">
      <c r="A203" s="9"/>
      <c r="B203" s="10"/>
      <c r="C203" s="122"/>
      <c r="D203" s="209" t="s">
        <v>305</v>
      </c>
      <c r="E203" s="132" t="s">
        <v>225</v>
      </c>
      <c r="F203" s="132" t="s">
        <v>279</v>
      </c>
      <c r="G203" s="143">
        <f>250000+100000</f>
        <v>350000</v>
      </c>
      <c r="H203" s="172">
        <f>250000-150000</f>
        <v>100000</v>
      </c>
    </row>
    <row r="204" spans="1:8" ht="15.75">
      <c r="A204" s="169"/>
      <c r="B204" s="121"/>
      <c r="C204" s="122"/>
      <c r="D204" s="202" t="s">
        <v>472</v>
      </c>
      <c r="E204" s="131" t="s">
        <v>225</v>
      </c>
      <c r="F204" s="131" t="s">
        <v>408</v>
      </c>
      <c r="G204" s="138">
        <f>500000-300000+8000000</f>
        <v>8200000</v>
      </c>
      <c r="H204" s="171">
        <f>500000-300000-100000</f>
        <v>100000</v>
      </c>
    </row>
    <row r="205" spans="1:8" ht="15" customHeight="1">
      <c r="A205" s="9"/>
      <c r="B205" s="10"/>
      <c r="C205" s="123"/>
      <c r="D205" s="202" t="s">
        <v>296</v>
      </c>
      <c r="E205" s="131" t="s">
        <v>225</v>
      </c>
      <c r="F205" s="133">
        <v>2024</v>
      </c>
      <c r="G205" s="143">
        <v>50000</v>
      </c>
      <c r="H205" s="172">
        <v>50000</v>
      </c>
    </row>
    <row r="206" spans="1:8" ht="15.75">
      <c r="A206" s="9"/>
      <c r="B206" s="10"/>
      <c r="C206" s="122"/>
      <c r="D206" s="461" t="s">
        <v>288</v>
      </c>
      <c r="E206" s="148" t="s">
        <v>225</v>
      </c>
      <c r="F206" s="163" t="s">
        <v>408</v>
      </c>
      <c r="G206" s="152">
        <v>3000000</v>
      </c>
      <c r="H206" s="462">
        <f>150000-140000</f>
        <v>10000</v>
      </c>
    </row>
    <row r="207" spans="1:8" ht="16.5" customHeight="1">
      <c r="A207" s="9"/>
      <c r="B207" s="10"/>
      <c r="C207" s="11"/>
      <c r="D207" s="118" t="s">
        <v>287</v>
      </c>
      <c r="E207" s="148" t="s">
        <v>225</v>
      </c>
      <c r="F207" s="163">
        <v>2024</v>
      </c>
      <c r="G207" s="138">
        <v>200000</v>
      </c>
      <c r="H207" s="171">
        <f>200000-60000</f>
        <v>140000</v>
      </c>
    </row>
    <row r="208" spans="1:8" ht="16.5" customHeight="1">
      <c r="A208" s="9"/>
      <c r="B208" s="10"/>
      <c r="C208" s="11"/>
      <c r="D208" s="118" t="s">
        <v>407</v>
      </c>
      <c r="E208" s="148" t="s">
        <v>225</v>
      </c>
      <c r="F208" s="163" t="s">
        <v>279</v>
      </c>
      <c r="G208" s="138">
        <f>480000+140000</f>
        <v>620000</v>
      </c>
      <c r="H208" s="171">
        <f>300000-200000</f>
        <v>100000</v>
      </c>
    </row>
    <row r="209" spans="1:8" ht="16.5" customHeight="1">
      <c r="A209" s="9"/>
      <c r="B209" s="10"/>
      <c r="C209" s="11"/>
      <c r="D209" s="118" t="s">
        <v>493</v>
      </c>
      <c r="E209" s="148" t="s">
        <v>225</v>
      </c>
      <c r="F209" s="148" t="s">
        <v>279</v>
      </c>
      <c r="G209" s="138">
        <v>280000</v>
      </c>
      <c r="H209" s="171">
        <f>100000-90000</f>
        <v>10000</v>
      </c>
    </row>
    <row r="210" spans="1:8" ht="15.75" customHeight="1">
      <c r="A210" s="9"/>
      <c r="B210" s="10"/>
      <c r="C210" s="122"/>
      <c r="D210" s="144" t="s">
        <v>271</v>
      </c>
      <c r="E210" s="131" t="s">
        <v>225</v>
      </c>
      <c r="F210" s="131" t="s">
        <v>272</v>
      </c>
      <c r="G210" s="138">
        <v>8000000</v>
      </c>
      <c r="H210" s="171">
        <f>1000+49000</f>
        <v>50000</v>
      </c>
    </row>
    <row r="211" spans="1:8">
      <c r="A211" s="166"/>
      <c r="B211" s="108">
        <v>92604</v>
      </c>
      <c r="C211" s="109"/>
      <c r="D211" s="110" t="s">
        <v>90</v>
      </c>
      <c r="E211" s="118"/>
      <c r="F211" s="110"/>
      <c r="G211" s="110"/>
      <c r="H211" s="172">
        <f>H212</f>
        <v>229000</v>
      </c>
    </row>
    <row r="212" spans="1:8">
      <c r="A212" s="166"/>
      <c r="B212" s="108"/>
      <c r="C212" s="109">
        <v>6050</v>
      </c>
      <c r="D212" s="110" t="s">
        <v>98</v>
      </c>
      <c r="E212" s="132"/>
      <c r="F212" s="132"/>
      <c r="G212" s="143"/>
      <c r="H212" s="172">
        <f>H213</f>
        <v>229000</v>
      </c>
    </row>
    <row r="213" spans="1:8" ht="25.5">
      <c r="A213" s="9"/>
      <c r="B213" s="10"/>
      <c r="C213" s="11"/>
      <c r="D213" s="155" t="s">
        <v>473</v>
      </c>
      <c r="E213" s="148" t="s">
        <v>225</v>
      </c>
      <c r="F213" s="148" t="s">
        <v>247</v>
      </c>
      <c r="G213" s="156">
        <f>600000+249000</f>
        <v>849000</v>
      </c>
      <c r="H213" s="462">
        <f>580000+249000-600000</f>
        <v>229000</v>
      </c>
    </row>
    <row r="214" spans="1:8">
      <c r="A214" s="166"/>
      <c r="B214" s="108">
        <v>92695</v>
      </c>
      <c r="C214" s="109"/>
      <c r="D214" s="110" t="s">
        <v>8</v>
      </c>
      <c r="E214" s="110"/>
      <c r="F214" s="110"/>
      <c r="G214" s="110"/>
      <c r="H214" s="172">
        <f>H215</f>
        <v>873000</v>
      </c>
    </row>
    <row r="215" spans="1:8">
      <c r="A215" s="166"/>
      <c r="B215" s="108"/>
      <c r="C215" s="109">
        <v>6050</v>
      </c>
      <c r="D215" s="110" t="s">
        <v>98</v>
      </c>
      <c r="E215" s="132"/>
      <c r="F215" s="132"/>
      <c r="G215" s="143"/>
      <c r="H215" s="172">
        <f>SUM(H216:H221)</f>
        <v>873000</v>
      </c>
    </row>
    <row r="216" spans="1:8" ht="25.5">
      <c r="A216" s="166"/>
      <c r="B216" s="108"/>
      <c r="C216" s="109"/>
      <c r="D216" s="110" t="s">
        <v>497</v>
      </c>
      <c r="E216" s="132" t="s">
        <v>225</v>
      </c>
      <c r="F216" s="132">
        <v>2024</v>
      </c>
      <c r="G216" s="143">
        <v>333000</v>
      </c>
      <c r="H216" s="172">
        <v>333000</v>
      </c>
    </row>
    <row r="217" spans="1:8">
      <c r="A217" s="166"/>
      <c r="B217" s="108"/>
      <c r="C217" s="109"/>
      <c r="D217" s="110" t="s">
        <v>306</v>
      </c>
      <c r="E217" s="132" t="s">
        <v>225</v>
      </c>
      <c r="F217" s="132">
        <v>2024</v>
      </c>
      <c r="G217" s="143">
        <f>250000+100000</f>
        <v>350000</v>
      </c>
      <c r="H217" s="172">
        <f>200000+100000+50000</f>
        <v>350000</v>
      </c>
    </row>
    <row r="218" spans="1:8">
      <c r="A218" s="166"/>
      <c r="B218" s="108"/>
      <c r="C218" s="109"/>
      <c r="D218" s="110" t="s">
        <v>307</v>
      </c>
      <c r="E218" s="132" t="s">
        <v>225</v>
      </c>
      <c r="F218" s="132" t="s">
        <v>279</v>
      </c>
      <c r="G218" s="143">
        <v>250000</v>
      </c>
      <c r="H218" s="172">
        <f>125000-100000</f>
        <v>25000</v>
      </c>
    </row>
    <row r="219" spans="1:8">
      <c r="A219" s="166"/>
      <c r="B219" s="108"/>
      <c r="C219" s="109"/>
      <c r="D219" s="110" t="s">
        <v>308</v>
      </c>
      <c r="E219" s="132" t="s">
        <v>225</v>
      </c>
      <c r="F219" s="132" t="s">
        <v>279</v>
      </c>
      <c r="G219" s="143">
        <v>250000</v>
      </c>
      <c r="H219" s="172">
        <f>200000-100000-50000</f>
        <v>50000</v>
      </c>
    </row>
    <row r="220" spans="1:8" ht="12.75" customHeight="1">
      <c r="A220" s="166"/>
      <c r="B220" s="108"/>
      <c r="C220" s="109"/>
      <c r="D220" s="110" t="s">
        <v>309</v>
      </c>
      <c r="E220" s="132" t="s">
        <v>225</v>
      </c>
      <c r="F220" s="132" t="s">
        <v>279</v>
      </c>
      <c r="G220" s="143">
        <v>250000</v>
      </c>
      <c r="H220" s="172">
        <f>150000-100000</f>
        <v>50000</v>
      </c>
    </row>
    <row r="221" spans="1:8" ht="13.5" customHeight="1">
      <c r="A221" s="198"/>
      <c r="B221" s="168"/>
      <c r="C221" s="173"/>
      <c r="D221" s="111" t="s">
        <v>310</v>
      </c>
      <c r="E221" s="136" t="s">
        <v>225</v>
      </c>
      <c r="F221" s="136" t="s">
        <v>279</v>
      </c>
      <c r="G221" s="139">
        <v>250000</v>
      </c>
      <c r="H221" s="497">
        <f>150000-85000</f>
        <v>65000</v>
      </c>
    </row>
    <row r="222" spans="1:8" ht="18" customHeight="1">
      <c r="A222" s="210"/>
      <c r="B222" s="174"/>
      <c r="C222" s="175"/>
      <c r="D222" s="176" t="s">
        <v>91</v>
      </c>
      <c r="E222" s="177"/>
      <c r="F222" s="177"/>
      <c r="G222" s="177"/>
      <c r="H222" s="178">
        <f>H9+H19+H78+H91+H95+H108+H122+H165+H183+H198+H155+H151</f>
        <v>72710073.329999998</v>
      </c>
    </row>
    <row r="223" spans="1:8" ht="15">
      <c r="F223" s="103"/>
    </row>
    <row r="224" spans="1:8" ht="15">
      <c r="F224" s="103"/>
    </row>
    <row r="225" spans="8:8">
      <c r="H225" s="485"/>
    </row>
    <row r="226" spans="8:8">
      <c r="H226" s="485"/>
    </row>
  </sheetData>
  <mergeCells count="1">
    <mergeCell ref="A4:H4"/>
  </mergeCells>
  <phoneticPr fontId="83" type="noConversion"/>
  <conditionalFormatting sqref="A29:B29">
    <cfRule type="expression" dxfId="245" priority="332" stopIfTrue="1">
      <formula>LEN($A29)&gt;1</formula>
    </cfRule>
    <cfRule type="expression" dxfId="244" priority="333" stopIfTrue="1">
      <formula>LEN($B29)&gt;1</formula>
    </cfRule>
    <cfRule type="expression" dxfId="243" priority="331" stopIfTrue="1">
      <formula>#REF! = "OGÓŁEM:"</formula>
    </cfRule>
  </conditionalFormatting>
  <conditionalFormatting sqref="A81:B82 A171:C171">
    <cfRule type="expression" dxfId="242" priority="288" stopIfTrue="1">
      <formula>LEN($B81)&gt;1</formula>
    </cfRule>
    <cfRule type="expression" dxfId="241" priority="287" stopIfTrue="1">
      <formula>LEN($A81)&gt;1</formula>
    </cfRule>
    <cfRule type="expression" dxfId="240" priority="286" stopIfTrue="1">
      <formula>#REF! = "OGÓŁEM:"</formula>
    </cfRule>
  </conditionalFormatting>
  <conditionalFormatting sqref="A127:B127">
    <cfRule type="expression" dxfId="239" priority="304" stopIfTrue="1">
      <formula>$D129 = "OGÓŁEM:"</formula>
    </cfRule>
    <cfRule type="expression" dxfId="238" priority="306" stopIfTrue="1">
      <formula>LEN($B127)&gt;1</formula>
    </cfRule>
    <cfRule type="expression" dxfId="237" priority="305" stopIfTrue="1">
      <formula>LEN($A127)&gt;1</formula>
    </cfRule>
  </conditionalFormatting>
  <conditionalFormatting sqref="A17:C18 A102:D109 G111:H111 A111:D113 A168:C168">
    <cfRule type="expression" dxfId="236" priority="13" stopIfTrue="1">
      <formula>$D17 = "OGÓŁEM:"</formula>
    </cfRule>
    <cfRule type="expression" dxfId="235" priority="14" stopIfTrue="1">
      <formula>LEN($A17)&gt;1</formula>
    </cfRule>
    <cfRule type="expression" dxfId="234" priority="15" stopIfTrue="1">
      <formula>LEN($B17)&gt;1</formula>
    </cfRule>
  </conditionalFormatting>
  <conditionalFormatting sqref="A27:C28 A30:C32 B35:C52 A52 A53:C59 A85:D87 A115:D119 A125:C126 C127 A128:C128 A157:D164 A180:C180 A181:B182 A191:C192 A196:C197 A201:C201 A210:C210 A221:C221">
    <cfRule type="expression" dxfId="233" priority="179" stopIfTrue="1">
      <formula>LEN($A27)&gt;1</formula>
    </cfRule>
    <cfRule type="expression" dxfId="232" priority="178" stopIfTrue="1">
      <formula>$D27 = "OGÓŁEM:"</formula>
    </cfRule>
    <cfRule type="expression" dxfId="231" priority="180" stopIfTrue="1">
      <formula>LEN($B27)&gt;1</formula>
    </cfRule>
  </conditionalFormatting>
  <conditionalFormatting sqref="A60:C61 A66:C66">
    <cfRule type="expression" dxfId="230" priority="275" stopIfTrue="1">
      <formula>LEN($A60)&gt;1</formula>
    </cfRule>
    <cfRule type="expression" dxfId="229" priority="274" stopIfTrue="1">
      <formula>#REF! = "OGÓŁEM:"</formula>
    </cfRule>
    <cfRule type="expression" dxfId="228" priority="276" stopIfTrue="1">
      <formula>LEN($B60)&gt;1</formula>
    </cfRule>
  </conditionalFormatting>
  <conditionalFormatting sqref="A129:C131">
    <cfRule type="expression" dxfId="227" priority="295" stopIfTrue="1">
      <formula>#REF! = "OGÓŁEM:"</formula>
    </cfRule>
    <cfRule type="expression" dxfId="226" priority="297" stopIfTrue="1">
      <formula>LEN($B129)&gt;1</formula>
    </cfRule>
    <cfRule type="expression" dxfId="225" priority="296" stopIfTrue="1">
      <formula>LEN($A129)&gt;1</formula>
    </cfRule>
  </conditionalFormatting>
  <conditionalFormatting sqref="A141:C142">
    <cfRule type="expression" dxfId="224" priority="67" stopIfTrue="1">
      <formula>$D141 = "OGÓŁEM:"</formula>
    </cfRule>
    <cfRule type="expression" dxfId="223" priority="68" stopIfTrue="1">
      <formula>LEN($A141)&gt;1</formula>
    </cfRule>
    <cfRule type="expression" dxfId="222" priority="69" stopIfTrue="1">
      <formula>LEN($B141)&gt;1</formula>
    </cfRule>
  </conditionalFormatting>
  <conditionalFormatting sqref="A144:C146 F146 E146:E147 G146:H147">
    <cfRule type="expression" dxfId="221" priority="60" stopIfTrue="1">
      <formula>LEN($B144)&gt;1</formula>
    </cfRule>
    <cfRule type="expression" dxfId="220" priority="59" stopIfTrue="1">
      <formula>LEN($A144)&gt;1</formula>
    </cfRule>
    <cfRule type="expression" dxfId="219" priority="58" stopIfTrue="1">
      <formula>$D144 = "OGÓŁEM:"</formula>
    </cfRule>
  </conditionalFormatting>
  <conditionalFormatting sqref="A202:C203">
    <cfRule type="expression" dxfId="218" priority="314" stopIfTrue="1">
      <formula>LEN($A202)&gt;1</formula>
    </cfRule>
    <cfRule type="expression" dxfId="217" priority="313" stopIfTrue="1">
      <formula>#REF! = "OGÓŁEM:"</formula>
    </cfRule>
    <cfRule type="expression" dxfId="216" priority="315" stopIfTrue="1">
      <formula>LEN($B202)&gt;1</formula>
    </cfRule>
  </conditionalFormatting>
  <conditionalFormatting sqref="A204:C204">
    <cfRule type="expression" dxfId="215" priority="320" stopIfTrue="1">
      <formula>LEN($A204)&gt;1</formula>
    </cfRule>
    <cfRule type="expression" dxfId="214" priority="321" stopIfTrue="1">
      <formula>LEN($B204)&gt;1</formula>
    </cfRule>
    <cfRule type="expression" dxfId="213" priority="319" stopIfTrue="1">
      <formula>$D207 = "OGÓŁEM:"</formula>
    </cfRule>
  </conditionalFormatting>
  <conditionalFormatting sqref="A205:C205">
    <cfRule type="expression" dxfId="212" priority="385" stopIfTrue="1">
      <formula>$D210 = "OGÓŁEM:"</formula>
    </cfRule>
    <cfRule type="expression" dxfId="211" priority="386" stopIfTrue="1">
      <formula>LEN($A205)&gt;1</formula>
    </cfRule>
    <cfRule type="expression" dxfId="210" priority="387" stopIfTrue="1">
      <formula>LEN($B205)&gt;1</formula>
    </cfRule>
  </conditionalFormatting>
  <conditionalFormatting sqref="A206:C206">
    <cfRule type="expression" dxfId="209" priority="394" stopIfTrue="1">
      <formula>$D210 = "OGÓŁEM:"</formula>
    </cfRule>
    <cfRule type="expression" dxfId="208" priority="395" stopIfTrue="1">
      <formula>LEN($A206)&gt;1</formula>
    </cfRule>
    <cfRule type="expression" dxfId="207" priority="396" stopIfTrue="1">
      <formula>LEN($B206)&gt;1</formula>
    </cfRule>
  </conditionalFormatting>
  <conditionalFormatting sqref="A207:C209">
    <cfRule type="expression" dxfId="206" priority="310" stopIfTrue="1">
      <formula>$D202 = "OGÓŁEM:"</formula>
    </cfRule>
    <cfRule type="expression" dxfId="205" priority="311" stopIfTrue="1">
      <formula>LEN($A207)&gt;1</formula>
    </cfRule>
    <cfRule type="expression" dxfId="204" priority="312" stopIfTrue="1">
      <formula>LEN($B207)&gt;1</formula>
    </cfRule>
  </conditionalFormatting>
  <conditionalFormatting sqref="A23:D23">
    <cfRule type="expression" dxfId="203" priority="73" stopIfTrue="1">
      <formula>$D23 = "OGÓŁEM:"</formula>
    </cfRule>
    <cfRule type="expression" dxfId="202" priority="74" stopIfTrue="1">
      <formula>LEN($A23)&gt;1</formula>
    </cfRule>
    <cfRule type="expression" dxfId="201" priority="75" stopIfTrue="1">
      <formula>LEN($B23)&gt;1</formula>
    </cfRule>
  </conditionalFormatting>
  <conditionalFormatting sqref="A34:D34 A35:A50">
    <cfRule type="expression" dxfId="200" priority="176" stopIfTrue="1">
      <formula>LEN($A34)&gt;1</formula>
    </cfRule>
    <cfRule type="expression" dxfId="199" priority="177" stopIfTrue="1">
      <formula>LEN($B34)&gt;1</formula>
    </cfRule>
    <cfRule type="expression" dxfId="198" priority="175" stopIfTrue="1">
      <formula>$D34 = "OGÓŁEM:"</formula>
    </cfRule>
  </conditionalFormatting>
  <conditionalFormatting sqref="A76:D76 A77:C77">
    <cfRule type="expression" dxfId="197" priority="126" stopIfTrue="1">
      <formula>LEN($B76)&gt;1</formula>
    </cfRule>
    <cfRule type="expression" dxfId="196" priority="125" stopIfTrue="1">
      <formula>LEN($A76)&gt;1</formula>
    </cfRule>
    <cfRule type="expression" dxfId="195" priority="124" stopIfTrue="1">
      <formula>$D76 = "OGÓŁEM:"</formula>
    </cfRule>
  </conditionalFormatting>
  <conditionalFormatting sqref="A99:D99">
    <cfRule type="expression" dxfId="194" priority="145" stopIfTrue="1">
      <formula>$D99 = "OGÓŁEM:"</formula>
    </cfRule>
    <cfRule type="expression" dxfId="193" priority="146" stopIfTrue="1">
      <formula>LEN($A99)&gt;1</formula>
    </cfRule>
    <cfRule type="expression" dxfId="192" priority="147" stopIfTrue="1">
      <formula>LEN($B99)&gt;1</formula>
    </cfRule>
  </conditionalFormatting>
  <conditionalFormatting sqref="A132:D132">
    <cfRule type="expression" dxfId="191" priority="123" stopIfTrue="1">
      <formula>LEN($B132)&gt;1</formula>
    </cfRule>
    <cfRule type="expression" dxfId="190" priority="122" stopIfTrue="1">
      <formula>LEN($A132)&gt;1</formula>
    </cfRule>
    <cfRule type="expression" dxfId="189" priority="121" stopIfTrue="1">
      <formula>$D132 = "OGÓŁEM:"</formula>
    </cfRule>
  </conditionalFormatting>
  <conditionalFormatting sqref="A137:D137">
    <cfRule type="expression" dxfId="188" priority="90" stopIfTrue="1">
      <formula>LEN($B137)&gt;1</formula>
    </cfRule>
    <cfRule type="expression" dxfId="187" priority="89" stopIfTrue="1">
      <formula>LEN($A137)&gt;1</formula>
    </cfRule>
    <cfRule type="expression" dxfId="186" priority="88" stopIfTrue="1">
      <formula>$D137 = "OGÓŁEM:"</formula>
    </cfRule>
  </conditionalFormatting>
  <conditionalFormatting sqref="A140:D140">
    <cfRule type="expression" dxfId="185" priority="78" stopIfTrue="1">
      <formula>LEN($B140)&gt;1</formula>
    </cfRule>
    <cfRule type="expression" dxfId="184" priority="76" stopIfTrue="1">
      <formula>$D140 = "OGÓŁEM:"</formula>
    </cfRule>
    <cfRule type="expression" dxfId="183" priority="77" stopIfTrue="1">
      <formula>LEN($A140)&gt;1</formula>
    </cfRule>
  </conditionalFormatting>
  <conditionalFormatting sqref="A143:D143">
    <cfRule type="expression" dxfId="182" priority="61" stopIfTrue="1">
      <formula>$D143 = "OGÓŁEM:"</formula>
    </cfRule>
    <cfRule type="expression" dxfId="181" priority="63" stopIfTrue="1">
      <formula>LEN($B143)&gt;1</formula>
    </cfRule>
    <cfRule type="expression" dxfId="180" priority="62" stopIfTrue="1">
      <formula>LEN($A143)&gt;1</formula>
    </cfRule>
  </conditionalFormatting>
  <conditionalFormatting sqref="A147:D147">
    <cfRule type="expression" dxfId="179" priority="52" stopIfTrue="1">
      <formula>$D147 = "OGÓŁEM:"</formula>
    </cfRule>
    <cfRule type="expression" dxfId="178" priority="53" stopIfTrue="1">
      <formula>LEN($A147)&gt;1</formula>
    </cfRule>
    <cfRule type="expression" dxfId="177" priority="54" stopIfTrue="1">
      <formula>LEN($B147)&gt;1</formula>
    </cfRule>
  </conditionalFormatting>
  <conditionalFormatting sqref="A153:D153">
    <cfRule type="expression" dxfId="176" priority="27" stopIfTrue="1">
      <formula>LEN($B153)&gt;1</formula>
    </cfRule>
    <cfRule type="expression" dxfId="175" priority="26" stopIfTrue="1">
      <formula>LEN($A153)&gt;1</formula>
    </cfRule>
    <cfRule type="expression" dxfId="174" priority="25" stopIfTrue="1">
      <formula>$D153 = "OGÓŁEM:"</formula>
    </cfRule>
  </conditionalFormatting>
  <conditionalFormatting sqref="A176:D176">
    <cfRule type="expression" dxfId="173" priority="70" stopIfTrue="1">
      <formula>$D176 = "OGÓŁEM:"</formula>
    </cfRule>
    <cfRule type="expression" dxfId="172" priority="71" stopIfTrue="1">
      <formula>LEN($A176)&gt;1</formula>
    </cfRule>
    <cfRule type="expression" dxfId="171" priority="72" stopIfTrue="1">
      <formula>LEN($B176)&gt;1</formula>
    </cfRule>
  </conditionalFormatting>
  <conditionalFormatting sqref="A179:D179">
    <cfRule type="expression" dxfId="170" priority="31" stopIfTrue="1">
      <formula>$D179 = "OGÓŁEM:"</formula>
    </cfRule>
    <cfRule type="expression" dxfId="169" priority="33" stopIfTrue="1">
      <formula>LEN($B179)&gt;1</formula>
    </cfRule>
    <cfRule type="expression" dxfId="168" priority="32" stopIfTrue="1">
      <formula>LEN($A179)&gt;1</formula>
    </cfRule>
  </conditionalFormatting>
  <conditionalFormatting sqref="A193:D193">
    <cfRule type="expression" dxfId="167" priority="106" stopIfTrue="1">
      <formula>$D193 = "OGÓŁEM:"</formula>
    </cfRule>
    <cfRule type="expression" dxfId="166" priority="108" stopIfTrue="1">
      <formula>LEN($B193)&gt;1</formula>
    </cfRule>
    <cfRule type="expression" dxfId="165" priority="107" stopIfTrue="1">
      <formula>LEN($A193)&gt;1</formula>
    </cfRule>
  </conditionalFormatting>
  <conditionalFormatting sqref="A195:D195">
    <cfRule type="expression" dxfId="164" priority="103" stopIfTrue="1">
      <formula>$D195 = "OGÓŁEM:"</formula>
    </cfRule>
    <cfRule type="expression" dxfId="163" priority="105" stopIfTrue="1">
      <formula>LEN($B195)&gt;1</formula>
    </cfRule>
    <cfRule type="expression" dxfId="162" priority="104" stopIfTrue="1">
      <formula>LEN($A195)&gt;1</formula>
    </cfRule>
  </conditionalFormatting>
  <conditionalFormatting sqref="A212:D212">
    <cfRule type="expression" dxfId="161" priority="98" stopIfTrue="1">
      <formula>LEN($A212)&gt;1</formula>
    </cfRule>
    <cfRule type="expression" dxfId="160" priority="99" stopIfTrue="1">
      <formula>LEN($B212)&gt;1</formula>
    </cfRule>
    <cfRule type="expression" dxfId="159" priority="97" stopIfTrue="1">
      <formula>$D212 = "OGÓŁEM:"</formula>
    </cfRule>
  </conditionalFormatting>
  <conditionalFormatting sqref="A149:E149">
    <cfRule type="expression" dxfId="158" priority="3" stopIfTrue="1">
      <formula>LEN($B149)&gt;1</formula>
    </cfRule>
    <cfRule type="expression" dxfId="157" priority="1" stopIfTrue="1">
      <formula>$D149 = "OGÓŁEM:"</formula>
    </cfRule>
    <cfRule type="expression" dxfId="156" priority="2" stopIfTrue="1">
      <formula>LEN($A149)&gt;1</formula>
    </cfRule>
  </conditionalFormatting>
  <conditionalFormatting sqref="A9:H11 A12:C12 A15:C15 A22:C22 A24:C24 A26:D26 A62:C65 A67:C75 C81 A83:C84 A90:C90 A94:C94 A98:C98 A100:C100 A114:C114 A120:C121 A133:C136 A138:C139 A148:C148 A150:C150 A154:C154 A177:C177 A186:C186 A187:B188 A194:C194 A213:C213">
    <cfRule type="expression" dxfId="155" priority="198" stopIfTrue="1">
      <formula>LEN($B9)&gt;1</formula>
    </cfRule>
    <cfRule type="expression" dxfId="154" priority="197" stopIfTrue="1">
      <formula>LEN($A9)&gt;1</formula>
    </cfRule>
    <cfRule type="expression" dxfId="153" priority="196" stopIfTrue="1">
      <formula>$D9 = "OGÓŁEM:"</formula>
    </cfRule>
  </conditionalFormatting>
  <conditionalFormatting sqref="A13:H14">
    <cfRule type="expression" dxfId="152" priority="195" stopIfTrue="1">
      <formula>LEN($B13)&gt;1</formula>
    </cfRule>
    <cfRule type="expression" dxfId="151" priority="193" stopIfTrue="1">
      <formula>$D13 = "OGÓŁEM:"</formula>
    </cfRule>
    <cfRule type="expression" dxfId="150" priority="194" stopIfTrue="1">
      <formula>LEN($A13)&gt;1</formula>
    </cfRule>
  </conditionalFormatting>
  <conditionalFormatting sqref="A16:H16">
    <cfRule type="expression" dxfId="149" priority="18" stopIfTrue="1">
      <formula>LEN($B16)&gt;1</formula>
    </cfRule>
    <cfRule type="expression" dxfId="148" priority="17" stopIfTrue="1">
      <formula>LEN($A16)&gt;1</formula>
    </cfRule>
    <cfRule type="expression" dxfId="147" priority="16" stopIfTrue="1">
      <formula>$D16 = "OGÓŁEM:"</formula>
    </cfRule>
  </conditionalFormatting>
  <conditionalFormatting sqref="A19:H21">
    <cfRule type="expression" dxfId="146" priority="187" stopIfTrue="1">
      <formula>$D19 = "OGÓŁEM:"</formula>
    </cfRule>
    <cfRule type="expression" dxfId="145" priority="188" stopIfTrue="1">
      <formula>LEN($A19)&gt;1</formula>
    </cfRule>
    <cfRule type="expression" dxfId="144" priority="189" stopIfTrue="1">
      <formula>LEN($B19)&gt;1</formula>
    </cfRule>
  </conditionalFormatting>
  <conditionalFormatting sqref="A25:H25">
    <cfRule type="expression" dxfId="143" priority="185" stopIfTrue="1">
      <formula>LEN($A25)&gt;1</formula>
    </cfRule>
    <cfRule type="expression" dxfId="142" priority="184" stopIfTrue="1">
      <formula>$D25 = "OGÓŁEM:"</formula>
    </cfRule>
    <cfRule type="expression" dxfId="141" priority="186" stopIfTrue="1">
      <formula>LEN($B25)&gt;1</formula>
    </cfRule>
  </conditionalFormatting>
  <conditionalFormatting sqref="A33:H33">
    <cfRule type="expression" dxfId="140" priority="173" stopIfTrue="1">
      <formula>LEN($A33)&gt;1</formula>
    </cfRule>
    <cfRule type="expression" dxfId="139" priority="174" stopIfTrue="1">
      <formula>LEN($B33)&gt;1</formula>
    </cfRule>
    <cfRule type="expression" dxfId="138" priority="172" stopIfTrue="1">
      <formula>$D33 = "OGÓŁEM:"</formula>
    </cfRule>
  </conditionalFormatting>
  <conditionalFormatting sqref="A78:H80">
    <cfRule type="expression" dxfId="137" priority="171" stopIfTrue="1">
      <formula>LEN($B78)&gt;1</formula>
    </cfRule>
    <cfRule type="expression" dxfId="136" priority="170" stopIfTrue="1">
      <formula>LEN($A78)&gt;1</formula>
    </cfRule>
    <cfRule type="expression" dxfId="135" priority="169" stopIfTrue="1">
      <formula>$D78 = "OGÓŁEM:"</formula>
    </cfRule>
  </conditionalFormatting>
  <conditionalFormatting sqref="A88:H89">
    <cfRule type="expression" dxfId="134" priority="159" stopIfTrue="1">
      <formula>LEN($B88)&gt;1</formula>
    </cfRule>
    <cfRule type="expression" dxfId="133" priority="157" stopIfTrue="1">
      <formula>$D88 = "OGÓŁEM:"</formula>
    </cfRule>
    <cfRule type="expression" dxfId="132" priority="158" stopIfTrue="1">
      <formula>LEN($A88)&gt;1</formula>
    </cfRule>
  </conditionalFormatting>
  <conditionalFormatting sqref="A101:H101">
    <cfRule type="expression" dxfId="131" priority="140" stopIfTrue="1">
      <formula>LEN($A101)&gt;1</formula>
    </cfRule>
    <cfRule type="expression" dxfId="130" priority="141" stopIfTrue="1">
      <formula>LEN($B101)&gt;1</formula>
    </cfRule>
    <cfRule type="expression" dxfId="129" priority="139" stopIfTrue="1">
      <formula>$D101 = "OGÓŁEM:"</formula>
    </cfRule>
  </conditionalFormatting>
  <conditionalFormatting sqref="A151:H152">
    <cfRule type="expression" dxfId="128" priority="8" stopIfTrue="1">
      <formula>LEN($A151)&gt;1</formula>
    </cfRule>
    <cfRule type="expression" dxfId="127" priority="9" stopIfTrue="1">
      <formula>LEN($B151)&gt;1</formula>
    </cfRule>
    <cfRule type="expression" dxfId="126" priority="7" stopIfTrue="1">
      <formula>$D151 = "OGÓŁEM:"</formula>
    </cfRule>
  </conditionalFormatting>
  <conditionalFormatting sqref="A155:H156 E157:H157 G158 E159:G159 G160 E161:G161 G162:H162">
    <cfRule type="expression" dxfId="125" priority="44" stopIfTrue="1">
      <formula>LEN($A155)&gt;1</formula>
    </cfRule>
    <cfRule type="expression" dxfId="124" priority="43" stopIfTrue="1">
      <formula>$D155 = "OGÓŁEM:"</formula>
    </cfRule>
    <cfRule type="expression" dxfId="123" priority="45" stopIfTrue="1">
      <formula>LEN($B155)&gt;1</formula>
    </cfRule>
  </conditionalFormatting>
  <conditionalFormatting sqref="A165:H167">
    <cfRule type="expression" dxfId="122" priority="79" stopIfTrue="1">
      <formula>$D165 = "OGÓŁEM:"</formula>
    </cfRule>
    <cfRule type="expression" dxfId="121" priority="81" stopIfTrue="1">
      <formula>LEN($B165)&gt;1</formula>
    </cfRule>
    <cfRule type="expression" dxfId="120" priority="80" stopIfTrue="1">
      <formula>LEN($A165)&gt;1</formula>
    </cfRule>
  </conditionalFormatting>
  <conditionalFormatting sqref="A178:H178">
    <cfRule type="expression" dxfId="119" priority="36" stopIfTrue="1">
      <formula>LEN($B178)&gt;1</formula>
    </cfRule>
    <cfRule type="expression" dxfId="118" priority="35" stopIfTrue="1">
      <formula>LEN($A178)&gt;1</formula>
    </cfRule>
    <cfRule type="expression" dxfId="117" priority="34" stopIfTrue="1">
      <formula>$D178 = "OGÓŁEM:"</formula>
    </cfRule>
  </conditionalFormatting>
  <conditionalFormatting sqref="A211:H211">
    <cfRule type="expression" dxfId="116" priority="96" stopIfTrue="1">
      <formula>LEN($B211)&gt;1</formula>
    </cfRule>
    <cfRule type="expression" dxfId="115" priority="94" stopIfTrue="1">
      <formula>$D211 = "OGÓŁEM:"</formula>
    </cfRule>
    <cfRule type="expression" dxfId="114" priority="95" stopIfTrue="1">
      <formula>LEN($A211)&gt;1</formula>
    </cfRule>
  </conditionalFormatting>
  <conditionalFormatting sqref="A222:H222">
    <cfRule type="expression" dxfId="113" priority="86" stopIfTrue="1">
      <formula>LEN($A222)&gt;1</formula>
    </cfRule>
    <cfRule type="expression" dxfId="112" priority="87" stopIfTrue="1">
      <formula>LEN($B222)&gt;1</formula>
    </cfRule>
    <cfRule type="expression" dxfId="111" priority="85" stopIfTrue="1">
      <formula>$D222 = "OGÓŁEM:"</formula>
    </cfRule>
  </conditionalFormatting>
  <conditionalFormatting sqref="C29">
    <cfRule type="expression" dxfId="110" priority="334" stopIfTrue="1">
      <formula>$D29 = "OGÓŁEM:"</formula>
    </cfRule>
    <cfRule type="expression" dxfId="109" priority="335" stopIfTrue="1">
      <formula>LEN(#REF!)&gt;1</formula>
    </cfRule>
    <cfRule type="expression" dxfId="108" priority="336" stopIfTrue="1">
      <formula>LEN(#REF!)&gt;1</formula>
    </cfRule>
  </conditionalFormatting>
  <conditionalFormatting sqref="C182">
    <cfRule type="expression" dxfId="107" priority="24" stopIfTrue="1">
      <formula>LEN($B182)&gt;1</formula>
    </cfRule>
    <cfRule type="expression" dxfId="106" priority="22" stopIfTrue="1">
      <formula>$D182 = "OGÓŁEM:"</formula>
    </cfRule>
    <cfRule type="expression" dxfId="105" priority="23" stopIfTrue="1">
      <formula>LEN($A182)&gt;1</formula>
    </cfRule>
  </conditionalFormatting>
  <conditionalFormatting sqref="C82:D82">
    <cfRule type="expression" dxfId="104" priority="165" stopIfTrue="1">
      <formula>LEN($B82)&gt;1</formula>
    </cfRule>
    <cfRule type="expression" dxfId="103" priority="164" stopIfTrue="1">
      <formula>LEN($A82)&gt;1</formula>
    </cfRule>
    <cfRule type="expression" dxfId="102" priority="163" stopIfTrue="1">
      <formula>$D82 = "OGÓŁEM:"</formula>
    </cfRule>
  </conditionalFormatting>
  <conditionalFormatting sqref="C181:D181">
    <cfRule type="expression" dxfId="101" priority="20" stopIfTrue="1">
      <formula>LEN($A181)&gt;1</formula>
    </cfRule>
    <cfRule type="expression" dxfId="100" priority="21" stopIfTrue="1">
      <formula>LEN($B181)&gt;1</formula>
    </cfRule>
    <cfRule type="expression" dxfId="99" priority="19" stopIfTrue="1">
      <formula>$D181 = "OGÓŁEM:"</formula>
    </cfRule>
  </conditionalFormatting>
  <conditionalFormatting sqref="C187:D187 C188">
    <cfRule type="expression" dxfId="98" priority="82" stopIfTrue="1">
      <formula>$D187 = "OGÓŁEM:"</formula>
    </cfRule>
    <cfRule type="expression" dxfId="97" priority="83" stopIfTrue="1">
      <formula>LEN($A187)&gt;1</formula>
    </cfRule>
    <cfRule type="expression" dxfId="96" priority="84" stopIfTrue="1">
      <formula>LEN($B187)&gt;1</formula>
    </cfRule>
  </conditionalFormatting>
  <conditionalFormatting sqref="D30:D31">
    <cfRule type="expression" dxfId="95" priority="144" stopIfTrue="1">
      <formula>LEN($B30)&gt;1</formula>
    </cfRule>
    <cfRule type="expression" dxfId="94" priority="143" stopIfTrue="1">
      <formula>LEN($A30)&gt;1</formula>
    </cfRule>
    <cfRule type="expression" dxfId="93" priority="142" stopIfTrue="1">
      <formula>$D30 = "OGÓŁEM:"</formula>
    </cfRule>
  </conditionalFormatting>
  <conditionalFormatting sqref="D146">
    <cfRule type="expression" dxfId="92" priority="55" stopIfTrue="1">
      <formula>$D146 = "OGÓŁEM:"</formula>
    </cfRule>
    <cfRule type="expression" dxfId="91" priority="56" stopIfTrue="1">
      <formula>LEN($A146)&gt;1</formula>
    </cfRule>
    <cfRule type="expression" dxfId="90" priority="57" stopIfTrue="1">
      <formula>LEN($B146)&gt;1</formula>
    </cfRule>
  </conditionalFormatting>
  <conditionalFormatting sqref="D17:H17">
    <cfRule type="expression" dxfId="89" priority="11" stopIfTrue="1">
      <formula>LEN($A17)&gt;1</formula>
    </cfRule>
    <cfRule type="expression" dxfId="88" priority="12" stopIfTrue="1">
      <formula>LEN($B17)&gt;1</formula>
    </cfRule>
    <cfRule type="expression" dxfId="87" priority="10" stopIfTrue="1">
      <formula>$D17 = "OGÓŁEM:"</formula>
    </cfRule>
  </conditionalFormatting>
  <conditionalFormatting sqref="D142:H142">
    <cfRule type="expression" dxfId="86" priority="64" stopIfTrue="1">
      <formula>$D142 = "OGÓŁEM:"</formula>
    </cfRule>
    <cfRule type="expression" dxfId="85" priority="65" stopIfTrue="1">
      <formula>LEN($A142)&gt;1</formula>
    </cfRule>
    <cfRule type="expression" dxfId="84" priority="66" stopIfTrue="1">
      <formula>LEN($B142)&gt;1</formula>
    </cfRule>
  </conditionalFormatting>
  <conditionalFormatting sqref="E85:H85">
    <cfRule type="expression" dxfId="83" priority="162" stopIfTrue="1">
      <formula>LEN($B85)&gt;1</formula>
    </cfRule>
    <cfRule type="expression" dxfId="82" priority="160" stopIfTrue="1">
      <formula>$D85 = "OGÓŁEM:"</formula>
    </cfRule>
    <cfRule type="expression" dxfId="81" priority="161" stopIfTrue="1">
      <formula>LEN($A85)&gt;1</formula>
    </cfRule>
  </conditionalFormatting>
  <conditionalFormatting sqref="E91:H92 A91:D93">
    <cfRule type="expression" dxfId="80" priority="151" stopIfTrue="1">
      <formula>$D91 = "OGÓŁEM:"</formula>
    </cfRule>
    <cfRule type="expression" dxfId="79" priority="153" stopIfTrue="1">
      <formula>LEN($B91)&gt;1</formula>
    </cfRule>
    <cfRule type="expression" dxfId="78" priority="152" stopIfTrue="1">
      <formula>LEN($A91)&gt;1</formula>
    </cfRule>
  </conditionalFormatting>
  <conditionalFormatting sqref="E95:H96 A95:D97">
    <cfRule type="expression" dxfId="77" priority="148" stopIfTrue="1">
      <formula>$D95 = "OGÓŁEM:"</formula>
    </cfRule>
    <cfRule type="expression" dxfId="76" priority="149" stopIfTrue="1">
      <formula>LEN($A95)&gt;1</formula>
    </cfRule>
    <cfRule type="expression" dxfId="75" priority="150" stopIfTrue="1">
      <formula>LEN($B95)&gt;1</formula>
    </cfRule>
  </conditionalFormatting>
  <conditionalFormatting sqref="E108:H109 A110:H110">
    <cfRule type="expression" dxfId="74" priority="51" stopIfTrue="1">
      <formula>LEN($B108)&gt;1</formula>
    </cfRule>
    <cfRule type="expression" dxfId="73" priority="50" stopIfTrue="1">
      <formula>LEN($A108)&gt;1</formula>
    </cfRule>
    <cfRule type="expression" dxfId="72" priority="49" stopIfTrue="1">
      <formula>$D108 = "OGÓŁEM:"</formula>
    </cfRule>
  </conditionalFormatting>
  <conditionalFormatting sqref="E112:H112">
    <cfRule type="expression" dxfId="71" priority="135" stopIfTrue="1">
      <formula>LEN($B112)&gt;1</formula>
    </cfRule>
    <cfRule type="expression" dxfId="70" priority="134" stopIfTrue="1">
      <formula>LEN($A112)&gt;1</formula>
    </cfRule>
    <cfRule type="expression" dxfId="69" priority="133" stopIfTrue="1">
      <formula>$D112 = "OGÓŁEM:"</formula>
    </cfRule>
  </conditionalFormatting>
  <conditionalFormatting sqref="E115:H115 E118:H118">
    <cfRule type="expression" dxfId="68" priority="132" stopIfTrue="1">
      <formula>LEN($B115)&gt;1</formula>
    </cfRule>
    <cfRule type="expression" dxfId="67" priority="131" stopIfTrue="1">
      <formula>LEN($A115)&gt;1</formula>
    </cfRule>
    <cfRule type="expression" dxfId="66" priority="130" stopIfTrue="1">
      <formula>$D115 = "OGÓŁEM:"</formula>
    </cfRule>
  </conditionalFormatting>
  <conditionalFormatting sqref="E122:H123 A122:D124">
    <cfRule type="expression" dxfId="65" priority="127" stopIfTrue="1">
      <formula>$D122 = "OGÓŁEM:"</formula>
    </cfRule>
    <cfRule type="expression" dxfId="64" priority="128" stopIfTrue="1">
      <formula>LEN($A122)&gt;1</formula>
    </cfRule>
    <cfRule type="expression" dxfId="63" priority="129" stopIfTrue="1">
      <formula>LEN($B122)&gt;1</formula>
    </cfRule>
  </conditionalFormatting>
  <conditionalFormatting sqref="E169:H169 A169:D170">
    <cfRule type="expression" dxfId="62" priority="118" stopIfTrue="1">
      <formula>$D169 = "OGÓŁEM:"</formula>
    </cfRule>
    <cfRule type="expression" dxfId="61" priority="119" stopIfTrue="1">
      <formula>LEN($A169)&gt;1</formula>
    </cfRule>
    <cfRule type="expression" dxfId="60" priority="120" stopIfTrue="1">
      <formula>LEN($B169)&gt;1</formula>
    </cfRule>
  </conditionalFormatting>
  <conditionalFormatting sqref="E172:H172 A172:D173 A174:C175">
    <cfRule type="expression" dxfId="59" priority="115" stopIfTrue="1">
      <formula>$D172 = "OGÓŁEM:"</formula>
    </cfRule>
    <cfRule type="expression" dxfId="58" priority="116" stopIfTrue="1">
      <formula>LEN($A172)&gt;1</formula>
    </cfRule>
    <cfRule type="expression" dxfId="57" priority="117" stopIfTrue="1">
      <formula>LEN($B172)&gt;1</formula>
    </cfRule>
  </conditionalFormatting>
  <conditionalFormatting sqref="E183:H184 A183:D185">
    <cfRule type="expression" dxfId="56" priority="114" stopIfTrue="1">
      <formula>LEN($B183)&gt;1</formula>
    </cfRule>
    <cfRule type="expression" dxfId="55" priority="112" stopIfTrue="1">
      <formula>$D183 = "OGÓŁEM:"</formula>
    </cfRule>
    <cfRule type="expression" dxfId="54" priority="113" stopIfTrue="1">
      <formula>LEN($A183)&gt;1</formula>
    </cfRule>
  </conditionalFormatting>
  <conditionalFormatting sqref="E189:H189 A189:D190">
    <cfRule type="expression" dxfId="53" priority="111" stopIfTrue="1">
      <formula>LEN($B189)&gt;1</formula>
    </cfRule>
    <cfRule type="expression" dxfId="52" priority="110" stopIfTrue="1">
      <formula>LEN($A189)&gt;1</formula>
    </cfRule>
    <cfRule type="expression" dxfId="51" priority="109" stopIfTrue="1">
      <formula>$D189 = "OGÓŁEM:"</formula>
    </cfRule>
  </conditionalFormatting>
  <conditionalFormatting sqref="E198:H199 A198:D200">
    <cfRule type="expression" dxfId="50" priority="100" stopIfTrue="1">
      <formula>$D198 = "OGÓŁEM:"</formula>
    </cfRule>
    <cfRule type="expression" dxfId="49" priority="101" stopIfTrue="1">
      <formula>LEN($A198)&gt;1</formula>
    </cfRule>
    <cfRule type="expression" dxfId="48" priority="102" stopIfTrue="1">
      <formula>LEN($B198)&gt;1</formula>
    </cfRule>
  </conditionalFormatting>
  <conditionalFormatting sqref="E214:H214 A214:D220">
    <cfRule type="expression" dxfId="47" priority="91" stopIfTrue="1">
      <formula>$D214 = "OGÓŁEM:"</formula>
    </cfRule>
    <cfRule type="expression" dxfId="46" priority="93" stopIfTrue="1">
      <formula>LEN($B214)&gt;1</formula>
    </cfRule>
    <cfRule type="expression" dxfId="45" priority="92" stopIfTrue="1">
      <formula>LEN($A214)&gt;1</formula>
    </cfRule>
  </conditionalFormatting>
  <conditionalFormatting sqref="G149:H149">
    <cfRule type="expression" dxfId="44" priority="5" stopIfTrue="1">
      <formula>LEN($A149)&gt;1</formula>
    </cfRule>
    <cfRule type="expression" dxfId="43" priority="4" stopIfTrue="1">
      <formula>$D149 = "OGÓŁEM:"</formula>
    </cfRule>
    <cfRule type="expression" dxfId="42" priority="6" stopIfTrue="1">
      <formula>LEN($B149)&gt;1</formula>
    </cfRule>
  </conditionalFormatting>
  <conditionalFormatting sqref="H158:H161">
    <cfRule type="expression" dxfId="41" priority="38" stopIfTrue="1">
      <formula>LEN($A158)&gt;1</formula>
    </cfRule>
    <cfRule type="expression" dxfId="40" priority="39" stopIfTrue="1">
      <formula>LEN($B158)&gt;1</formula>
    </cfRule>
    <cfRule type="expression" dxfId="39" priority="37" stopIfTrue="1">
      <formula>$D158 = "OGÓŁEM:"</formula>
    </cfRule>
  </conditionalFormatting>
  <pageMargins left="0.31496062992125984" right="0.31496062992125984" top="0.94488188976377963" bottom="0.55118110236220474" header="0.31496062992125984" footer="0.31496062992125984"/>
  <pageSetup paperSize="9" scale="74" orientation="portrait" r:id="rId1"/>
  <headerFooter>
    <oddHeader xml:space="preserve">&amp;RZałącznik Nr 2c
do Uchwały Nr XII/.../2024 
Rady Gminy Komorniki z dnia 28 listopada 2024r.    
w sprawie uchwały budżetowej na 2024r.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674B-B336-4E86-B256-76CD50273554}">
  <dimension ref="A1:I54"/>
  <sheetViews>
    <sheetView topLeftCell="A22" workbookViewId="0">
      <selection activeCell="E42" sqref="E42"/>
    </sheetView>
  </sheetViews>
  <sheetFormatPr defaultRowHeight="15"/>
  <cols>
    <col min="1" max="1" width="12.140625" customWidth="1"/>
    <col min="2" max="2" width="11" customWidth="1"/>
    <col min="4" max="4" width="27.42578125" customWidth="1"/>
    <col min="5" max="5" width="22.7109375" customWidth="1"/>
    <col min="7" max="7" width="12.42578125" bestFit="1" customWidth="1"/>
    <col min="9" max="9" width="12.42578125" bestFit="1" customWidth="1"/>
  </cols>
  <sheetData>
    <row r="1" spans="1:9" ht="16.5">
      <c r="A1" s="14"/>
      <c r="H1" s="14"/>
    </row>
    <row r="2" spans="1:9" ht="16.5">
      <c r="A2" s="14"/>
      <c r="H2" s="14"/>
    </row>
    <row r="3" spans="1:9" ht="15.75" customHeight="1">
      <c r="A3" s="14"/>
      <c r="H3" s="14"/>
    </row>
    <row r="4" spans="1:9" ht="15" customHeight="1">
      <c r="A4" s="16" t="s">
        <v>194</v>
      </c>
      <c r="B4" s="17"/>
      <c r="C4" s="17"/>
      <c r="D4" s="17"/>
      <c r="E4" s="17"/>
      <c r="F4" s="15"/>
    </row>
    <row r="5" spans="1:9" ht="15" customHeight="1">
      <c r="A5" s="16" t="s">
        <v>212</v>
      </c>
      <c r="B5" s="436"/>
      <c r="C5" s="18"/>
      <c r="D5" s="18"/>
      <c r="E5" s="18"/>
      <c r="F5" s="19"/>
    </row>
    <row r="6" spans="1:9" ht="3" customHeight="1">
      <c r="A6" s="20"/>
      <c r="B6" s="15"/>
      <c r="C6" s="15"/>
      <c r="D6" s="15"/>
      <c r="E6" s="15"/>
      <c r="F6" s="15"/>
    </row>
    <row r="7" spans="1:9" ht="15.75" thickBot="1">
      <c r="A7" s="520" t="s">
        <v>195</v>
      </c>
      <c r="B7" s="521"/>
      <c r="C7" s="521"/>
      <c r="D7" s="521"/>
      <c r="E7" s="437">
        <f>SUM(E10:E28)</f>
        <v>23049339</v>
      </c>
      <c r="F7" s="21"/>
      <c r="G7" s="22"/>
    </row>
    <row r="8" spans="1:9">
      <c r="A8" s="438" t="s">
        <v>0</v>
      </c>
      <c r="B8" s="439" t="s">
        <v>1</v>
      </c>
      <c r="C8" s="439" t="s">
        <v>2</v>
      </c>
      <c r="D8" s="439" t="s">
        <v>196</v>
      </c>
      <c r="E8" s="439" t="s">
        <v>197</v>
      </c>
      <c r="F8" s="15"/>
    </row>
    <row r="9" spans="1:9" ht="11.25" customHeight="1" thickBot="1">
      <c r="A9" s="440">
        <v>1</v>
      </c>
      <c r="B9" s="441">
        <v>2</v>
      </c>
      <c r="C9" s="441">
        <v>3</v>
      </c>
      <c r="D9" s="441">
        <v>4</v>
      </c>
      <c r="E9" s="441">
        <v>5</v>
      </c>
      <c r="F9" s="15"/>
    </row>
    <row r="10" spans="1:9">
      <c r="A10" s="442" t="s">
        <v>500</v>
      </c>
      <c r="B10" s="443" t="s">
        <v>501</v>
      </c>
      <c r="C10" s="444">
        <v>6300</v>
      </c>
      <c r="D10" s="444" t="s">
        <v>198</v>
      </c>
      <c r="E10" s="445">
        <v>50000</v>
      </c>
      <c r="F10" s="15"/>
      <c r="G10" s="23"/>
    </row>
    <row r="11" spans="1:9">
      <c r="A11" s="446">
        <v>600</v>
      </c>
      <c r="B11" s="447">
        <v>60001</v>
      </c>
      <c r="C11" s="447">
        <v>2710</v>
      </c>
      <c r="D11" s="447" t="s">
        <v>199</v>
      </c>
      <c r="E11" s="448">
        <v>293275</v>
      </c>
      <c r="F11" s="15"/>
      <c r="G11" s="23"/>
    </row>
    <row r="12" spans="1:9">
      <c r="A12" s="446">
        <v>600</v>
      </c>
      <c r="B12" s="447">
        <v>60004</v>
      </c>
      <c r="C12" s="447">
        <v>2310</v>
      </c>
      <c r="D12" s="447" t="s">
        <v>199</v>
      </c>
      <c r="E12" s="448">
        <v>9400000</v>
      </c>
      <c r="F12" s="15"/>
      <c r="G12" s="23"/>
      <c r="I12" s="23"/>
    </row>
    <row r="13" spans="1:9">
      <c r="A13" s="446">
        <v>600</v>
      </c>
      <c r="B13" s="447">
        <v>60004</v>
      </c>
      <c r="C13" s="447">
        <v>2900</v>
      </c>
      <c r="D13" s="447" t="s">
        <v>199</v>
      </c>
      <c r="E13" s="448">
        <v>120637</v>
      </c>
      <c r="F13" s="15"/>
      <c r="G13" s="23"/>
      <c r="I13" s="23"/>
    </row>
    <row r="14" spans="1:9">
      <c r="A14" s="446">
        <v>600</v>
      </c>
      <c r="B14" s="447">
        <v>60004</v>
      </c>
      <c r="C14" s="447">
        <v>6650</v>
      </c>
      <c r="D14" s="447" t="s">
        <v>199</v>
      </c>
      <c r="E14" s="448">
        <v>56434</v>
      </c>
      <c r="F14" s="15"/>
      <c r="G14" s="23"/>
      <c r="I14" s="23"/>
    </row>
    <row r="15" spans="1:9">
      <c r="A15" s="446">
        <v>600</v>
      </c>
      <c r="B15" s="447">
        <v>60014</v>
      </c>
      <c r="C15" s="447">
        <v>6300</v>
      </c>
      <c r="D15" s="447" t="s">
        <v>199</v>
      </c>
      <c r="E15" s="448">
        <f>150000-120000+1096668</f>
        <v>1126668</v>
      </c>
      <c r="F15" s="15"/>
    </row>
    <row r="16" spans="1:9">
      <c r="A16" s="446">
        <v>801</v>
      </c>
      <c r="B16" s="447">
        <v>80101</v>
      </c>
      <c r="C16" s="447">
        <v>2710</v>
      </c>
      <c r="D16" s="447" t="s">
        <v>199</v>
      </c>
      <c r="E16" s="448">
        <v>129000</v>
      </c>
      <c r="F16" s="15"/>
    </row>
    <row r="17" spans="1:7">
      <c r="A17" s="446">
        <v>801</v>
      </c>
      <c r="B17" s="447">
        <v>80103</v>
      </c>
      <c r="C17" s="447">
        <v>2310</v>
      </c>
      <c r="D17" s="447" t="s">
        <v>199</v>
      </c>
      <c r="E17" s="448">
        <v>40000</v>
      </c>
      <c r="F17" s="15"/>
    </row>
    <row r="18" spans="1:7">
      <c r="A18" s="446">
        <v>801</v>
      </c>
      <c r="B18" s="447">
        <v>80104</v>
      </c>
      <c r="C18" s="447">
        <v>2310</v>
      </c>
      <c r="D18" s="447" t="s">
        <v>199</v>
      </c>
      <c r="E18" s="448">
        <f>3250000+700000</f>
        <v>3950000</v>
      </c>
      <c r="F18" s="15"/>
    </row>
    <row r="19" spans="1:7">
      <c r="A19" s="446">
        <v>801</v>
      </c>
      <c r="B19" s="447">
        <v>80132</v>
      </c>
      <c r="C19" s="447">
        <v>2710</v>
      </c>
      <c r="D19" s="447" t="s">
        <v>199</v>
      </c>
      <c r="E19" s="448">
        <v>91000</v>
      </c>
      <c r="F19" s="15"/>
    </row>
    <row r="20" spans="1:7">
      <c r="A20" s="446">
        <v>801</v>
      </c>
      <c r="B20" s="447">
        <v>80178</v>
      </c>
      <c r="C20" s="447">
        <v>2710</v>
      </c>
      <c r="D20" s="447" t="s">
        <v>199</v>
      </c>
      <c r="E20" s="448">
        <v>50000</v>
      </c>
      <c r="F20" s="15"/>
    </row>
    <row r="21" spans="1:7">
      <c r="A21" s="446">
        <v>851</v>
      </c>
      <c r="B21" s="447">
        <v>85158</v>
      </c>
      <c r="C21" s="447">
        <v>2710</v>
      </c>
      <c r="D21" s="447" t="s">
        <v>199</v>
      </c>
      <c r="E21" s="448">
        <v>104143</v>
      </c>
      <c r="F21" s="15"/>
    </row>
    <row r="22" spans="1:7">
      <c r="A22" s="446">
        <v>854</v>
      </c>
      <c r="B22" s="447">
        <v>85406</v>
      </c>
      <c r="C22" s="447">
        <v>2710</v>
      </c>
      <c r="D22" s="447" t="s">
        <v>199</v>
      </c>
      <c r="E22" s="448">
        <v>60000</v>
      </c>
      <c r="F22" s="15"/>
    </row>
    <row r="23" spans="1:7">
      <c r="A23" s="446">
        <v>900</v>
      </c>
      <c r="B23" s="447">
        <v>90013</v>
      </c>
      <c r="C23" s="447">
        <v>2900</v>
      </c>
      <c r="D23" s="447" t="s">
        <v>199</v>
      </c>
      <c r="E23" s="448">
        <v>355000</v>
      </c>
      <c r="F23" s="15"/>
    </row>
    <row r="24" spans="1:7">
      <c r="A24" s="446">
        <v>900</v>
      </c>
      <c r="B24" s="447">
        <v>90026</v>
      </c>
      <c r="C24" s="447">
        <v>2320</v>
      </c>
      <c r="D24" s="447" t="s">
        <v>199</v>
      </c>
      <c r="E24" s="448">
        <v>30000</v>
      </c>
      <c r="F24" s="15"/>
    </row>
    <row r="25" spans="1:7">
      <c r="A25" s="446">
        <v>900</v>
      </c>
      <c r="B25" s="447">
        <v>90026</v>
      </c>
      <c r="C25" s="447">
        <v>2900</v>
      </c>
      <c r="D25" s="447" t="s">
        <v>199</v>
      </c>
      <c r="E25" s="448">
        <v>80000</v>
      </c>
      <c r="F25" s="15"/>
    </row>
    <row r="26" spans="1:7">
      <c r="A26" s="446">
        <v>921</v>
      </c>
      <c r="B26" s="447">
        <v>92109</v>
      </c>
      <c r="C26" s="447">
        <v>2480</v>
      </c>
      <c r="D26" s="447" t="s">
        <v>200</v>
      </c>
      <c r="E26" s="448">
        <f>4300000+100000+365000+350000</f>
        <v>5115000</v>
      </c>
      <c r="F26" s="15"/>
    </row>
    <row r="27" spans="1:7">
      <c r="A27" s="446">
        <v>921</v>
      </c>
      <c r="B27" s="447">
        <v>92116</v>
      </c>
      <c r="C27" s="447">
        <v>2480</v>
      </c>
      <c r="D27" s="447" t="s">
        <v>200</v>
      </c>
      <c r="E27" s="448">
        <f>1673182+135000</f>
        <v>1808182</v>
      </c>
      <c r="F27" s="15"/>
      <c r="G27" s="23"/>
    </row>
    <row r="28" spans="1:7" ht="15.75" thickBot="1">
      <c r="A28" s="449">
        <v>921</v>
      </c>
      <c r="B28" s="450">
        <v>92116</v>
      </c>
      <c r="C28" s="450">
        <v>2800</v>
      </c>
      <c r="D28" s="450" t="s">
        <v>199</v>
      </c>
      <c r="E28" s="451">
        <v>190000</v>
      </c>
      <c r="F28" s="15"/>
    </row>
    <row r="29" spans="1:7" ht="6" customHeight="1">
      <c r="A29" s="79"/>
      <c r="B29" s="67"/>
      <c r="C29" s="67"/>
      <c r="D29" s="67"/>
      <c r="E29" s="67"/>
      <c r="F29" s="15"/>
      <c r="G29" s="23"/>
    </row>
    <row r="30" spans="1:7" ht="15.75" customHeight="1" thickBot="1">
      <c r="A30" s="522" t="s">
        <v>201</v>
      </c>
      <c r="B30" s="523"/>
      <c r="C30" s="523"/>
      <c r="D30" s="523"/>
      <c r="E30" s="452">
        <f>SUM(E33:E54)</f>
        <v>47884524.580000006</v>
      </c>
      <c r="F30" s="15"/>
    </row>
    <row r="31" spans="1:7">
      <c r="A31" s="453" t="s">
        <v>0</v>
      </c>
      <c r="B31" s="454" t="s">
        <v>1</v>
      </c>
      <c r="C31" s="454" t="s">
        <v>2</v>
      </c>
      <c r="D31" s="454" t="s">
        <v>196</v>
      </c>
      <c r="E31" s="454" t="s">
        <v>197</v>
      </c>
      <c r="F31" s="15"/>
    </row>
    <row r="32" spans="1:7" ht="12.75" customHeight="1" thickBot="1">
      <c r="A32" s="440">
        <v>1</v>
      </c>
      <c r="B32" s="441">
        <v>2</v>
      </c>
      <c r="C32" s="441">
        <v>3</v>
      </c>
      <c r="D32" s="441">
        <v>4</v>
      </c>
      <c r="E32" s="441">
        <v>5</v>
      </c>
      <c r="F32" s="15"/>
    </row>
    <row r="33" spans="1:6">
      <c r="A33" s="446">
        <v>801</v>
      </c>
      <c r="B33" s="447">
        <v>80101</v>
      </c>
      <c r="C33" s="447">
        <v>2540</v>
      </c>
      <c r="D33" s="447" t="s">
        <v>200</v>
      </c>
      <c r="E33" s="448">
        <v>2470000</v>
      </c>
      <c r="F33" s="15"/>
    </row>
    <row r="34" spans="1:6">
      <c r="A34" s="446">
        <v>801</v>
      </c>
      <c r="B34" s="447">
        <v>80103</v>
      </c>
      <c r="C34" s="447">
        <v>2540</v>
      </c>
      <c r="D34" s="447" t="s">
        <v>202</v>
      </c>
      <c r="E34" s="448">
        <v>340000</v>
      </c>
      <c r="F34" s="15"/>
    </row>
    <row r="35" spans="1:6">
      <c r="A35" s="446">
        <v>801</v>
      </c>
      <c r="B35" s="447">
        <v>80104</v>
      </c>
      <c r="C35" s="447">
        <v>2540</v>
      </c>
      <c r="D35" s="447" t="s">
        <v>200</v>
      </c>
      <c r="E35" s="448">
        <f>3000000+500000</f>
        <v>3500000</v>
      </c>
      <c r="F35" s="15"/>
    </row>
    <row r="36" spans="1:6">
      <c r="A36" s="446">
        <v>801</v>
      </c>
      <c r="B36" s="447">
        <v>80104</v>
      </c>
      <c r="C36" s="447">
        <v>2590</v>
      </c>
      <c r="D36" s="447" t="s">
        <v>200</v>
      </c>
      <c r="E36" s="448">
        <f>22408333+150000+4200000</f>
        <v>26758333</v>
      </c>
      <c r="F36" s="15"/>
    </row>
    <row r="37" spans="1:6">
      <c r="A37" s="446">
        <v>801</v>
      </c>
      <c r="B37" s="447">
        <v>80106</v>
      </c>
      <c r="C37" s="447">
        <v>2540</v>
      </c>
      <c r="D37" s="447" t="s">
        <v>200</v>
      </c>
      <c r="E37" s="448">
        <f>175000+50000</f>
        <v>225000</v>
      </c>
      <c r="F37" s="15"/>
    </row>
    <row r="38" spans="1:6">
      <c r="A38" s="446">
        <v>801</v>
      </c>
      <c r="B38" s="447">
        <v>80149</v>
      </c>
      <c r="C38" s="447">
        <v>2540</v>
      </c>
      <c r="D38" s="447" t="s">
        <v>200</v>
      </c>
      <c r="E38" s="448">
        <f>3900000+1600000</f>
        <v>5500000</v>
      </c>
      <c r="F38" s="15"/>
    </row>
    <row r="39" spans="1:6">
      <c r="A39" s="446">
        <v>801</v>
      </c>
      <c r="B39" s="447">
        <v>80149</v>
      </c>
      <c r="C39" s="447">
        <v>2590</v>
      </c>
      <c r="D39" s="447" t="s">
        <v>200</v>
      </c>
      <c r="E39" s="448">
        <f>3200000+2500000</f>
        <v>5700000</v>
      </c>
      <c r="F39" s="15"/>
    </row>
    <row r="40" spans="1:6">
      <c r="A40" s="446">
        <v>801</v>
      </c>
      <c r="B40" s="447">
        <v>80153</v>
      </c>
      <c r="C40" s="447">
        <v>2820</v>
      </c>
      <c r="D40" s="447" t="s">
        <v>200</v>
      </c>
      <c r="E40" s="448">
        <v>24120.06</v>
      </c>
      <c r="F40" s="15"/>
    </row>
    <row r="41" spans="1:6">
      <c r="A41" s="446">
        <v>801</v>
      </c>
      <c r="B41" s="447">
        <v>80195</v>
      </c>
      <c r="C41" s="447">
        <v>2540</v>
      </c>
      <c r="D41" s="447" t="s">
        <v>200</v>
      </c>
      <c r="E41" s="448">
        <f>105200.64-81024.46+33418.58+25594.08+15930.68+37743.9+70000-50000</f>
        <v>156863.41999999998</v>
      </c>
      <c r="F41" s="15"/>
    </row>
    <row r="42" spans="1:6">
      <c r="A42" s="446">
        <v>801</v>
      </c>
      <c r="B42" s="447">
        <v>80195</v>
      </c>
      <c r="C42" s="447">
        <v>2590</v>
      </c>
      <c r="D42" s="447" t="s">
        <v>200</v>
      </c>
      <c r="E42" s="448">
        <f>24176.18+81024.46+121638.24+151723.32+62485.8+134152.1+100008-20000-40000</f>
        <v>615208.1</v>
      </c>
      <c r="F42" s="15"/>
    </row>
    <row r="43" spans="1:6">
      <c r="A43" s="446">
        <v>851</v>
      </c>
      <c r="B43" s="447">
        <v>85149</v>
      </c>
      <c r="C43" s="447">
        <v>2780</v>
      </c>
      <c r="D43" s="447" t="s">
        <v>199</v>
      </c>
      <c r="E43" s="448">
        <v>120000</v>
      </c>
      <c r="F43" s="15"/>
    </row>
    <row r="44" spans="1:6">
      <c r="A44" s="446">
        <v>852</v>
      </c>
      <c r="B44" s="447">
        <v>85295</v>
      </c>
      <c r="C44" s="447">
        <v>2360</v>
      </c>
      <c r="D44" s="447" t="s">
        <v>199</v>
      </c>
      <c r="E44" s="448">
        <f>35000+9000+20000</f>
        <v>64000</v>
      </c>
      <c r="F44" s="15"/>
    </row>
    <row r="45" spans="1:6">
      <c r="A45" s="446">
        <v>853</v>
      </c>
      <c r="B45" s="447">
        <v>85395</v>
      </c>
      <c r="C45" s="447">
        <v>2360</v>
      </c>
      <c r="D45" s="447" t="s">
        <v>199</v>
      </c>
      <c r="E45" s="448">
        <f>60000-20000</f>
        <v>40000</v>
      </c>
      <c r="F45" s="15"/>
    </row>
    <row r="46" spans="1:6">
      <c r="A46" s="446">
        <v>854</v>
      </c>
      <c r="B46" s="447">
        <v>85495</v>
      </c>
      <c r="C46" s="447">
        <v>2360</v>
      </c>
      <c r="D46" s="447" t="s">
        <v>199</v>
      </c>
      <c r="E46" s="448">
        <f>50000-10000</f>
        <v>40000</v>
      </c>
      <c r="F46" s="15"/>
    </row>
    <row r="47" spans="1:6">
      <c r="A47" s="446">
        <v>855</v>
      </c>
      <c r="B47" s="447">
        <v>85516</v>
      </c>
      <c r="C47" s="447">
        <v>2830</v>
      </c>
      <c r="D47" s="447" t="s">
        <v>199</v>
      </c>
      <c r="E47" s="448">
        <v>1380000</v>
      </c>
      <c r="F47" s="15"/>
    </row>
    <row r="48" spans="1:6">
      <c r="A48" s="446">
        <v>900</v>
      </c>
      <c r="B48" s="447">
        <v>90001</v>
      </c>
      <c r="C48" s="447">
        <v>6230</v>
      </c>
      <c r="D48" s="447" t="s">
        <v>199</v>
      </c>
      <c r="E48" s="448">
        <f>180000-20000</f>
        <v>160000</v>
      </c>
      <c r="F48" s="15"/>
    </row>
    <row r="49" spans="1:7">
      <c r="A49" s="446">
        <v>900</v>
      </c>
      <c r="B49" s="447">
        <v>90005</v>
      </c>
      <c r="C49" s="447">
        <v>6230</v>
      </c>
      <c r="D49" s="447" t="s">
        <v>199</v>
      </c>
      <c r="E49" s="448">
        <f>220000+56000+69000</f>
        <v>345000</v>
      </c>
      <c r="F49" s="15"/>
    </row>
    <row r="50" spans="1:7">
      <c r="A50" s="446">
        <v>900</v>
      </c>
      <c r="B50" s="447">
        <v>90095</v>
      </c>
      <c r="C50" s="447">
        <v>2360</v>
      </c>
      <c r="D50" s="447" t="s">
        <v>199</v>
      </c>
      <c r="E50" s="448">
        <v>6000</v>
      </c>
      <c r="F50" s="15"/>
    </row>
    <row r="51" spans="1:7">
      <c r="A51" s="446">
        <v>921</v>
      </c>
      <c r="B51" s="447">
        <v>92105</v>
      </c>
      <c r="C51" s="447">
        <v>2360</v>
      </c>
      <c r="D51" s="447" t="s">
        <v>199</v>
      </c>
      <c r="E51" s="448">
        <v>10000</v>
      </c>
      <c r="F51" s="15"/>
    </row>
    <row r="52" spans="1:7">
      <c r="A52" s="446">
        <v>921</v>
      </c>
      <c r="B52" s="447">
        <v>92120</v>
      </c>
      <c r="C52" s="447">
        <v>6570</v>
      </c>
      <c r="D52" s="447" t="s">
        <v>199</v>
      </c>
      <c r="E52" s="448">
        <f>842800+17200-860000</f>
        <v>0</v>
      </c>
      <c r="F52" s="15"/>
      <c r="G52" s="23"/>
    </row>
    <row r="53" spans="1:7">
      <c r="A53" s="446">
        <v>926</v>
      </c>
      <c r="B53" s="447">
        <v>92605</v>
      </c>
      <c r="C53" s="447">
        <v>2360</v>
      </c>
      <c r="D53" s="447" t="s">
        <v>199</v>
      </c>
      <c r="E53" s="448">
        <f>420000+10000</f>
        <v>430000</v>
      </c>
      <c r="F53" s="15"/>
    </row>
    <row r="54" spans="1:7" ht="11.25" customHeight="1" thickBot="1">
      <c r="A54" s="24"/>
      <c r="B54" s="25"/>
      <c r="C54" s="25"/>
      <c r="D54" s="25"/>
      <c r="E54" s="26"/>
      <c r="F54" s="15"/>
    </row>
  </sheetData>
  <mergeCells count="2">
    <mergeCell ref="A7:D7"/>
    <mergeCell ref="A30:D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 xml:space="preserve">&amp;RZałącznik Nr 3
do Uchwały Nr XII/.../2024 
Rady Gminy Komorniki z dnia 28 listopada 2024r.    
w sprawie uchwały budżetowej na 2024r.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6254-BDCD-4638-A926-B4DA0EF15DE6}">
  <dimension ref="A1:M36"/>
  <sheetViews>
    <sheetView workbookViewId="0">
      <selection activeCell="H16" sqref="H16"/>
    </sheetView>
  </sheetViews>
  <sheetFormatPr defaultRowHeight="12.75"/>
  <cols>
    <col min="1" max="1" width="7.28515625" style="362" customWidth="1"/>
    <col min="2" max="2" width="8.140625" style="362" customWidth="1"/>
    <col min="3" max="3" width="9.140625" style="362"/>
    <col min="4" max="4" width="11.5703125" style="362" customWidth="1"/>
    <col min="5" max="6" width="11.42578125" style="362" customWidth="1"/>
    <col min="7" max="9" width="11.140625" style="362" customWidth="1"/>
    <col min="10" max="11" width="11" style="362" customWidth="1"/>
    <col min="12" max="12" width="11.28515625" style="362" customWidth="1"/>
    <col min="13" max="256" width="9.140625" style="362"/>
    <col min="257" max="257" width="9.85546875" style="362" customWidth="1"/>
    <col min="258" max="258" width="9.7109375" style="362" customWidth="1"/>
    <col min="259" max="259" width="9.85546875" style="362" customWidth="1"/>
    <col min="260" max="260" width="12.140625" style="362" customWidth="1"/>
    <col min="261" max="262" width="12.28515625" style="362" customWidth="1"/>
    <col min="263" max="263" width="12.140625" style="362" customWidth="1"/>
    <col min="264" max="266" width="12.28515625" style="362" customWidth="1"/>
    <col min="267" max="267" width="12" style="362" customWidth="1"/>
    <col min="268" max="268" width="11.28515625" style="362" customWidth="1"/>
    <col min="269" max="512" width="9.140625" style="362"/>
    <col min="513" max="513" width="9.85546875" style="362" customWidth="1"/>
    <col min="514" max="514" width="9.7109375" style="362" customWidth="1"/>
    <col min="515" max="515" width="9.85546875" style="362" customWidth="1"/>
    <col min="516" max="516" width="12.140625" style="362" customWidth="1"/>
    <col min="517" max="518" width="12.28515625" style="362" customWidth="1"/>
    <col min="519" max="519" width="12.140625" style="362" customWidth="1"/>
    <col min="520" max="522" width="12.28515625" style="362" customWidth="1"/>
    <col min="523" max="523" width="12" style="362" customWidth="1"/>
    <col min="524" max="524" width="11.28515625" style="362" customWidth="1"/>
    <col min="525" max="768" width="9.140625" style="362"/>
    <col min="769" max="769" width="9.85546875" style="362" customWidth="1"/>
    <col min="770" max="770" width="9.7109375" style="362" customWidth="1"/>
    <col min="771" max="771" width="9.85546875" style="362" customWidth="1"/>
    <col min="772" max="772" width="12.140625" style="362" customWidth="1"/>
    <col min="773" max="774" width="12.28515625" style="362" customWidth="1"/>
    <col min="775" max="775" width="12.140625" style="362" customWidth="1"/>
    <col min="776" max="778" width="12.28515625" style="362" customWidth="1"/>
    <col min="779" max="779" width="12" style="362" customWidth="1"/>
    <col min="780" max="780" width="11.28515625" style="362" customWidth="1"/>
    <col min="781" max="1024" width="9.140625" style="362"/>
    <col min="1025" max="1025" width="9.85546875" style="362" customWidth="1"/>
    <col min="1026" max="1026" width="9.7109375" style="362" customWidth="1"/>
    <col min="1027" max="1027" width="9.85546875" style="362" customWidth="1"/>
    <col min="1028" max="1028" width="12.140625" style="362" customWidth="1"/>
    <col min="1029" max="1030" width="12.28515625" style="362" customWidth="1"/>
    <col min="1031" max="1031" width="12.140625" style="362" customWidth="1"/>
    <col min="1032" max="1034" width="12.28515625" style="362" customWidth="1"/>
    <col min="1035" max="1035" width="12" style="362" customWidth="1"/>
    <col min="1036" max="1036" width="11.28515625" style="362" customWidth="1"/>
    <col min="1037" max="1280" width="9.140625" style="362"/>
    <col min="1281" max="1281" width="9.85546875" style="362" customWidth="1"/>
    <col min="1282" max="1282" width="9.7109375" style="362" customWidth="1"/>
    <col min="1283" max="1283" width="9.85546875" style="362" customWidth="1"/>
    <col min="1284" max="1284" width="12.140625" style="362" customWidth="1"/>
    <col min="1285" max="1286" width="12.28515625" style="362" customWidth="1"/>
    <col min="1287" max="1287" width="12.140625" style="362" customWidth="1"/>
    <col min="1288" max="1290" width="12.28515625" style="362" customWidth="1"/>
    <col min="1291" max="1291" width="12" style="362" customWidth="1"/>
    <col min="1292" max="1292" width="11.28515625" style="362" customWidth="1"/>
    <col min="1293" max="1536" width="9.140625" style="362"/>
    <col min="1537" max="1537" width="9.85546875" style="362" customWidth="1"/>
    <col min="1538" max="1538" width="9.7109375" style="362" customWidth="1"/>
    <col min="1539" max="1539" width="9.85546875" style="362" customWidth="1"/>
    <col min="1540" max="1540" width="12.140625" style="362" customWidth="1"/>
    <col min="1541" max="1542" width="12.28515625" style="362" customWidth="1"/>
    <col min="1543" max="1543" width="12.140625" style="362" customWidth="1"/>
    <col min="1544" max="1546" width="12.28515625" style="362" customWidth="1"/>
    <col min="1547" max="1547" width="12" style="362" customWidth="1"/>
    <col min="1548" max="1548" width="11.28515625" style="362" customWidth="1"/>
    <col min="1549" max="1792" width="9.140625" style="362"/>
    <col min="1793" max="1793" width="9.85546875" style="362" customWidth="1"/>
    <col min="1794" max="1794" width="9.7109375" style="362" customWidth="1"/>
    <col min="1795" max="1795" width="9.85546875" style="362" customWidth="1"/>
    <col min="1796" max="1796" width="12.140625" style="362" customWidth="1"/>
    <col min="1797" max="1798" width="12.28515625" style="362" customWidth="1"/>
    <col min="1799" max="1799" width="12.140625" style="362" customWidth="1"/>
    <col min="1800" max="1802" width="12.28515625" style="362" customWidth="1"/>
    <col min="1803" max="1803" width="12" style="362" customWidth="1"/>
    <col min="1804" max="1804" width="11.28515625" style="362" customWidth="1"/>
    <col min="1805" max="2048" width="9.140625" style="362"/>
    <col min="2049" max="2049" width="9.85546875" style="362" customWidth="1"/>
    <col min="2050" max="2050" width="9.7109375" style="362" customWidth="1"/>
    <col min="2051" max="2051" width="9.85546875" style="362" customWidth="1"/>
    <col min="2052" max="2052" width="12.140625" style="362" customWidth="1"/>
    <col min="2053" max="2054" width="12.28515625" style="362" customWidth="1"/>
    <col min="2055" max="2055" width="12.140625" style="362" customWidth="1"/>
    <col min="2056" max="2058" width="12.28515625" style="362" customWidth="1"/>
    <col min="2059" max="2059" width="12" style="362" customWidth="1"/>
    <col min="2060" max="2060" width="11.28515625" style="362" customWidth="1"/>
    <col min="2061" max="2304" width="9.140625" style="362"/>
    <col min="2305" max="2305" width="9.85546875" style="362" customWidth="1"/>
    <col min="2306" max="2306" width="9.7109375" style="362" customWidth="1"/>
    <col min="2307" max="2307" width="9.85546875" style="362" customWidth="1"/>
    <col min="2308" max="2308" width="12.140625" style="362" customWidth="1"/>
    <col min="2309" max="2310" width="12.28515625" style="362" customWidth="1"/>
    <col min="2311" max="2311" width="12.140625" style="362" customWidth="1"/>
    <col min="2312" max="2314" width="12.28515625" style="362" customWidth="1"/>
    <col min="2315" max="2315" width="12" style="362" customWidth="1"/>
    <col min="2316" max="2316" width="11.28515625" style="362" customWidth="1"/>
    <col min="2317" max="2560" width="9.140625" style="362"/>
    <col min="2561" max="2561" width="9.85546875" style="362" customWidth="1"/>
    <col min="2562" max="2562" width="9.7109375" style="362" customWidth="1"/>
    <col min="2563" max="2563" width="9.85546875" style="362" customWidth="1"/>
    <col min="2564" max="2564" width="12.140625" style="362" customWidth="1"/>
    <col min="2565" max="2566" width="12.28515625" style="362" customWidth="1"/>
    <col min="2567" max="2567" width="12.140625" style="362" customWidth="1"/>
    <col min="2568" max="2570" width="12.28515625" style="362" customWidth="1"/>
    <col min="2571" max="2571" width="12" style="362" customWidth="1"/>
    <col min="2572" max="2572" width="11.28515625" style="362" customWidth="1"/>
    <col min="2573" max="2816" width="9.140625" style="362"/>
    <col min="2817" max="2817" width="9.85546875" style="362" customWidth="1"/>
    <col min="2818" max="2818" width="9.7109375" style="362" customWidth="1"/>
    <col min="2819" max="2819" width="9.85546875" style="362" customWidth="1"/>
    <col min="2820" max="2820" width="12.140625" style="362" customWidth="1"/>
    <col min="2821" max="2822" width="12.28515625" style="362" customWidth="1"/>
    <col min="2823" max="2823" width="12.140625" style="362" customWidth="1"/>
    <col min="2824" max="2826" width="12.28515625" style="362" customWidth="1"/>
    <col min="2827" max="2827" width="12" style="362" customWidth="1"/>
    <col min="2828" max="2828" width="11.28515625" style="362" customWidth="1"/>
    <col min="2829" max="3072" width="9.140625" style="362"/>
    <col min="3073" max="3073" width="9.85546875" style="362" customWidth="1"/>
    <col min="3074" max="3074" width="9.7109375" style="362" customWidth="1"/>
    <col min="3075" max="3075" width="9.85546875" style="362" customWidth="1"/>
    <col min="3076" max="3076" width="12.140625" style="362" customWidth="1"/>
    <col min="3077" max="3078" width="12.28515625" style="362" customWidth="1"/>
    <col min="3079" max="3079" width="12.140625" style="362" customWidth="1"/>
    <col min="3080" max="3082" width="12.28515625" style="362" customWidth="1"/>
    <col min="3083" max="3083" width="12" style="362" customWidth="1"/>
    <col min="3084" max="3084" width="11.28515625" style="362" customWidth="1"/>
    <col min="3085" max="3328" width="9.140625" style="362"/>
    <col min="3329" max="3329" width="9.85546875" style="362" customWidth="1"/>
    <col min="3330" max="3330" width="9.7109375" style="362" customWidth="1"/>
    <col min="3331" max="3331" width="9.85546875" style="362" customWidth="1"/>
    <col min="3332" max="3332" width="12.140625" style="362" customWidth="1"/>
    <col min="3333" max="3334" width="12.28515625" style="362" customWidth="1"/>
    <col min="3335" max="3335" width="12.140625" style="362" customWidth="1"/>
    <col min="3336" max="3338" width="12.28515625" style="362" customWidth="1"/>
    <col min="3339" max="3339" width="12" style="362" customWidth="1"/>
    <col min="3340" max="3340" width="11.28515625" style="362" customWidth="1"/>
    <col min="3341" max="3584" width="9.140625" style="362"/>
    <col min="3585" max="3585" width="9.85546875" style="362" customWidth="1"/>
    <col min="3586" max="3586" width="9.7109375" style="362" customWidth="1"/>
    <col min="3587" max="3587" width="9.85546875" style="362" customWidth="1"/>
    <col min="3588" max="3588" width="12.140625" style="362" customWidth="1"/>
    <col min="3589" max="3590" width="12.28515625" style="362" customWidth="1"/>
    <col min="3591" max="3591" width="12.140625" style="362" customWidth="1"/>
    <col min="3592" max="3594" width="12.28515625" style="362" customWidth="1"/>
    <col min="3595" max="3595" width="12" style="362" customWidth="1"/>
    <col min="3596" max="3596" width="11.28515625" style="362" customWidth="1"/>
    <col min="3597" max="3840" width="9.140625" style="362"/>
    <col min="3841" max="3841" width="9.85546875" style="362" customWidth="1"/>
    <col min="3842" max="3842" width="9.7109375" style="362" customWidth="1"/>
    <col min="3843" max="3843" width="9.85546875" style="362" customWidth="1"/>
    <col min="3844" max="3844" width="12.140625" style="362" customWidth="1"/>
    <col min="3845" max="3846" width="12.28515625" style="362" customWidth="1"/>
    <col min="3847" max="3847" width="12.140625" style="362" customWidth="1"/>
    <col min="3848" max="3850" width="12.28515625" style="362" customWidth="1"/>
    <col min="3851" max="3851" width="12" style="362" customWidth="1"/>
    <col min="3852" max="3852" width="11.28515625" style="362" customWidth="1"/>
    <col min="3853" max="4096" width="9.140625" style="362"/>
    <col min="4097" max="4097" width="9.85546875" style="362" customWidth="1"/>
    <col min="4098" max="4098" width="9.7109375" style="362" customWidth="1"/>
    <col min="4099" max="4099" width="9.85546875" style="362" customWidth="1"/>
    <col min="4100" max="4100" width="12.140625" style="362" customWidth="1"/>
    <col min="4101" max="4102" width="12.28515625" style="362" customWidth="1"/>
    <col min="4103" max="4103" width="12.140625" style="362" customWidth="1"/>
    <col min="4104" max="4106" width="12.28515625" style="362" customWidth="1"/>
    <col min="4107" max="4107" width="12" style="362" customWidth="1"/>
    <col min="4108" max="4108" width="11.28515625" style="362" customWidth="1"/>
    <col min="4109" max="4352" width="9.140625" style="362"/>
    <col min="4353" max="4353" width="9.85546875" style="362" customWidth="1"/>
    <col min="4354" max="4354" width="9.7109375" style="362" customWidth="1"/>
    <col min="4355" max="4355" width="9.85546875" style="362" customWidth="1"/>
    <col min="4356" max="4356" width="12.140625" style="362" customWidth="1"/>
    <col min="4357" max="4358" width="12.28515625" style="362" customWidth="1"/>
    <col min="4359" max="4359" width="12.140625" style="362" customWidth="1"/>
    <col min="4360" max="4362" width="12.28515625" style="362" customWidth="1"/>
    <col min="4363" max="4363" width="12" style="362" customWidth="1"/>
    <col min="4364" max="4364" width="11.28515625" style="362" customWidth="1"/>
    <col min="4365" max="4608" width="9.140625" style="362"/>
    <col min="4609" max="4609" width="9.85546875" style="362" customWidth="1"/>
    <col min="4610" max="4610" width="9.7109375" style="362" customWidth="1"/>
    <col min="4611" max="4611" width="9.85546875" style="362" customWidth="1"/>
    <col min="4612" max="4612" width="12.140625" style="362" customWidth="1"/>
    <col min="4613" max="4614" width="12.28515625" style="362" customWidth="1"/>
    <col min="4615" max="4615" width="12.140625" style="362" customWidth="1"/>
    <col min="4616" max="4618" width="12.28515625" style="362" customWidth="1"/>
    <col min="4619" max="4619" width="12" style="362" customWidth="1"/>
    <col min="4620" max="4620" width="11.28515625" style="362" customWidth="1"/>
    <col min="4621" max="4864" width="9.140625" style="362"/>
    <col min="4865" max="4865" width="9.85546875" style="362" customWidth="1"/>
    <col min="4866" max="4866" width="9.7109375" style="362" customWidth="1"/>
    <col min="4867" max="4867" width="9.85546875" style="362" customWidth="1"/>
    <col min="4868" max="4868" width="12.140625" style="362" customWidth="1"/>
    <col min="4869" max="4870" width="12.28515625" style="362" customWidth="1"/>
    <col min="4871" max="4871" width="12.140625" style="362" customWidth="1"/>
    <col min="4872" max="4874" width="12.28515625" style="362" customWidth="1"/>
    <col min="4875" max="4875" width="12" style="362" customWidth="1"/>
    <col min="4876" max="4876" width="11.28515625" style="362" customWidth="1"/>
    <col min="4877" max="5120" width="9.140625" style="362"/>
    <col min="5121" max="5121" width="9.85546875" style="362" customWidth="1"/>
    <col min="5122" max="5122" width="9.7109375" style="362" customWidth="1"/>
    <col min="5123" max="5123" width="9.85546875" style="362" customWidth="1"/>
    <col min="5124" max="5124" width="12.140625" style="362" customWidth="1"/>
    <col min="5125" max="5126" width="12.28515625" style="362" customWidth="1"/>
    <col min="5127" max="5127" width="12.140625" style="362" customWidth="1"/>
    <col min="5128" max="5130" width="12.28515625" style="362" customWidth="1"/>
    <col min="5131" max="5131" width="12" style="362" customWidth="1"/>
    <col min="5132" max="5132" width="11.28515625" style="362" customWidth="1"/>
    <col min="5133" max="5376" width="9.140625" style="362"/>
    <col min="5377" max="5377" width="9.85546875" style="362" customWidth="1"/>
    <col min="5378" max="5378" width="9.7109375" style="362" customWidth="1"/>
    <col min="5379" max="5379" width="9.85546875" style="362" customWidth="1"/>
    <col min="5380" max="5380" width="12.140625" style="362" customWidth="1"/>
    <col min="5381" max="5382" width="12.28515625" style="362" customWidth="1"/>
    <col min="5383" max="5383" width="12.140625" style="362" customWidth="1"/>
    <col min="5384" max="5386" width="12.28515625" style="362" customWidth="1"/>
    <col min="5387" max="5387" width="12" style="362" customWidth="1"/>
    <col min="5388" max="5388" width="11.28515625" style="362" customWidth="1"/>
    <col min="5389" max="5632" width="9.140625" style="362"/>
    <col min="5633" max="5633" width="9.85546875" style="362" customWidth="1"/>
    <col min="5634" max="5634" width="9.7109375" style="362" customWidth="1"/>
    <col min="5635" max="5635" width="9.85546875" style="362" customWidth="1"/>
    <col min="5636" max="5636" width="12.140625" style="362" customWidth="1"/>
    <col min="5637" max="5638" width="12.28515625" style="362" customWidth="1"/>
    <col min="5639" max="5639" width="12.140625" style="362" customWidth="1"/>
    <col min="5640" max="5642" width="12.28515625" style="362" customWidth="1"/>
    <col min="5643" max="5643" width="12" style="362" customWidth="1"/>
    <col min="5644" max="5644" width="11.28515625" style="362" customWidth="1"/>
    <col min="5645" max="5888" width="9.140625" style="362"/>
    <col min="5889" max="5889" width="9.85546875" style="362" customWidth="1"/>
    <col min="5890" max="5890" width="9.7109375" style="362" customWidth="1"/>
    <col min="5891" max="5891" width="9.85546875" style="362" customWidth="1"/>
    <col min="5892" max="5892" width="12.140625" style="362" customWidth="1"/>
    <col min="5893" max="5894" width="12.28515625" style="362" customWidth="1"/>
    <col min="5895" max="5895" width="12.140625" style="362" customWidth="1"/>
    <col min="5896" max="5898" width="12.28515625" style="362" customWidth="1"/>
    <col min="5899" max="5899" width="12" style="362" customWidth="1"/>
    <col min="5900" max="5900" width="11.28515625" style="362" customWidth="1"/>
    <col min="5901" max="6144" width="9.140625" style="362"/>
    <col min="6145" max="6145" width="9.85546875" style="362" customWidth="1"/>
    <col min="6146" max="6146" width="9.7109375" style="362" customWidth="1"/>
    <col min="6147" max="6147" width="9.85546875" style="362" customWidth="1"/>
    <col min="6148" max="6148" width="12.140625" style="362" customWidth="1"/>
    <col min="6149" max="6150" width="12.28515625" style="362" customWidth="1"/>
    <col min="6151" max="6151" width="12.140625" style="362" customWidth="1"/>
    <col min="6152" max="6154" width="12.28515625" style="362" customWidth="1"/>
    <col min="6155" max="6155" width="12" style="362" customWidth="1"/>
    <col min="6156" max="6156" width="11.28515625" style="362" customWidth="1"/>
    <col min="6157" max="6400" width="9.140625" style="362"/>
    <col min="6401" max="6401" width="9.85546875" style="362" customWidth="1"/>
    <col min="6402" max="6402" width="9.7109375" style="362" customWidth="1"/>
    <col min="6403" max="6403" width="9.85546875" style="362" customWidth="1"/>
    <col min="6404" max="6404" width="12.140625" style="362" customWidth="1"/>
    <col min="6405" max="6406" width="12.28515625" style="362" customWidth="1"/>
    <col min="6407" max="6407" width="12.140625" style="362" customWidth="1"/>
    <col min="6408" max="6410" width="12.28515625" style="362" customWidth="1"/>
    <col min="6411" max="6411" width="12" style="362" customWidth="1"/>
    <col min="6412" max="6412" width="11.28515625" style="362" customWidth="1"/>
    <col min="6413" max="6656" width="9.140625" style="362"/>
    <col min="6657" max="6657" width="9.85546875" style="362" customWidth="1"/>
    <col min="6658" max="6658" width="9.7109375" style="362" customWidth="1"/>
    <col min="6659" max="6659" width="9.85546875" style="362" customWidth="1"/>
    <col min="6660" max="6660" width="12.140625" style="362" customWidth="1"/>
    <col min="6661" max="6662" width="12.28515625" style="362" customWidth="1"/>
    <col min="6663" max="6663" width="12.140625" style="362" customWidth="1"/>
    <col min="6664" max="6666" width="12.28515625" style="362" customWidth="1"/>
    <col min="6667" max="6667" width="12" style="362" customWidth="1"/>
    <col min="6668" max="6668" width="11.28515625" style="362" customWidth="1"/>
    <col min="6669" max="6912" width="9.140625" style="362"/>
    <col min="6913" max="6913" width="9.85546875" style="362" customWidth="1"/>
    <col min="6914" max="6914" width="9.7109375" style="362" customWidth="1"/>
    <col min="6915" max="6915" width="9.85546875" style="362" customWidth="1"/>
    <col min="6916" max="6916" width="12.140625" style="362" customWidth="1"/>
    <col min="6917" max="6918" width="12.28515625" style="362" customWidth="1"/>
    <col min="6919" max="6919" width="12.140625" style="362" customWidth="1"/>
    <col min="6920" max="6922" width="12.28515625" style="362" customWidth="1"/>
    <col min="6923" max="6923" width="12" style="362" customWidth="1"/>
    <col min="6924" max="6924" width="11.28515625" style="362" customWidth="1"/>
    <col min="6925" max="7168" width="9.140625" style="362"/>
    <col min="7169" max="7169" width="9.85546875" style="362" customWidth="1"/>
    <col min="7170" max="7170" width="9.7109375" style="362" customWidth="1"/>
    <col min="7171" max="7171" width="9.85546875" style="362" customWidth="1"/>
    <col min="7172" max="7172" width="12.140625" style="362" customWidth="1"/>
    <col min="7173" max="7174" width="12.28515625" style="362" customWidth="1"/>
    <col min="7175" max="7175" width="12.140625" style="362" customWidth="1"/>
    <col min="7176" max="7178" width="12.28515625" style="362" customWidth="1"/>
    <col min="7179" max="7179" width="12" style="362" customWidth="1"/>
    <col min="7180" max="7180" width="11.28515625" style="362" customWidth="1"/>
    <col min="7181" max="7424" width="9.140625" style="362"/>
    <col min="7425" max="7425" width="9.85546875" style="362" customWidth="1"/>
    <col min="7426" max="7426" width="9.7109375" style="362" customWidth="1"/>
    <col min="7427" max="7427" width="9.85546875" style="362" customWidth="1"/>
    <col min="7428" max="7428" width="12.140625" style="362" customWidth="1"/>
    <col min="7429" max="7430" width="12.28515625" style="362" customWidth="1"/>
    <col min="7431" max="7431" width="12.140625" style="362" customWidth="1"/>
    <col min="7432" max="7434" width="12.28515625" style="362" customWidth="1"/>
    <col min="7435" max="7435" width="12" style="362" customWidth="1"/>
    <col min="7436" max="7436" width="11.28515625" style="362" customWidth="1"/>
    <col min="7437" max="7680" width="9.140625" style="362"/>
    <col min="7681" max="7681" width="9.85546875" style="362" customWidth="1"/>
    <col min="7682" max="7682" width="9.7109375" style="362" customWidth="1"/>
    <col min="7683" max="7683" width="9.85546875" style="362" customWidth="1"/>
    <col min="7684" max="7684" width="12.140625" style="362" customWidth="1"/>
    <col min="7685" max="7686" width="12.28515625" style="362" customWidth="1"/>
    <col min="7687" max="7687" width="12.140625" style="362" customWidth="1"/>
    <col min="7688" max="7690" width="12.28515625" style="362" customWidth="1"/>
    <col min="7691" max="7691" width="12" style="362" customWidth="1"/>
    <col min="7692" max="7692" width="11.28515625" style="362" customWidth="1"/>
    <col min="7693" max="7936" width="9.140625" style="362"/>
    <col min="7937" max="7937" width="9.85546875" style="362" customWidth="1"/>
    <col min="7938" max="7938" width="9.7109375" style="362" customWidth="1"/>
    <col min="7939" max="7939" width="9.85546875" style="362" customWidth="1"/>
    <col min="7940" max="7940" width="12.140625" style="362" customWidth="1"/>
    <col min="7941" max="7942" width="12.28515625" style="362" customWidth="1"/>
    <col min="7943" max="7943" width="12.140625" style="362" customWidth="1"/>
    <col min="7944" max="7946" width="12.28515625" style="362" customWidth="1"/>
    <col min="7947" max="7947" width="12" style="362" customWidth="1"/>
    <col min="7948" max="7948" width="11.28515625" style="362" customWidth="1"/>
    <col min="7949" max="8192" width="9.140625" style="362"/>
    <col min="8193" max="8193" width="9.85546875" style="362" customWidth="1"/>
    <col min="8194" max="8194" width="9.7109375" style="362" customWidth="1"/>
    <col min="8195" max="8195" width="9.85546875" style="362" customWidth="1"/>
    <col min="8196" max="8196" width="12.140625" style="362" customWidth="1"/>
    <col min="8197" max="8198" width="12.28515625" style="362" customWidth="1"/>
    <col min="8199" max="8199" width="12.140625" style="362" customWidth="1"/>
    <col min="8200" max="8202" width="12.28515625" style="362" customWidth="1"/>
    <col min="8203" max="8203" width="12" style="362" customWidth="1"/>
    <col min="8204" max="8204" width="11.28515625" style="362" customWidth="1"/>
    <col min="8205" max="8448" width="9.140625" style="362"/>
    <col min="8449" max="8449" width="9.85546875" style="362" customWidth="1"/>
    <col min="8450" max="8450" width="9.7109375" style="362" customWidth="1"/>
    <col min="8451" max="8451" width="9.85546875" style="362" customWidth="1"/>
    <col min="8452" max="8452" width="12.140625" style="362" customWidth="1"/>
    <col min="8453" max="8454" width="12.28515625" style="362" customWidth="1"/>
    <col min="8455" max="8455" width="12.140625" style="362" customWidth="1"/>
    <col min="8456" max="8458" width="12.28515625" style="362" customWidth="1"/>
    <col min="8459" max="8459" width="12" style="362" customWidth="1"/>
    <col min="8460" max="8460" width="11.28515625" style="362" customWidth="1"/>
    <col min="8461" max="8704" width="9.140625" style="362"/>
    <col min="8705" max="8705" width="9.85546875" style="362" customWidth="1"/>
    <col min="8706" max="8706" width="9.7109375" style="362" customWidth="1"/>
    <col min="8707" max="8707" width="9.85546875" style="362" customWidth="1"/>
    <col min="8708" max="8708" width="12.140625" style="362" customWidth="1"/>
    <col min="8709" max="8710" width="12.28515625" style="362" customWidth="1"/>
    <col min="8711" max="8711" width="12.140625" style="362" customWidth="1"/>
    <col min="8712" max="8714" width="12.28515625" style="362" customWidth="1"/>
    <col min="8715" max="8715" width="12" style="362" customWidth="1"/>
    <col min="8716" max="8716" width="11.28515625" style="362" customWidth="1"/>
    <col min="8717" max="8960" width="9.140625" style="362"/>
    <col min="8961" max="8961" width="9.85546875" style="362" customWidth="1"/>
    <col min="8962" max="8962" width="9.7109375" style="362" customWidth="1"/>
    <col min="8963" max="8963" width="9.85546875" style="362" customWidth="1"/>
    <col min="8964" max="8964" width="12.140625" style="362" customWidth="1"/>
    <col min="8965" max="8966" width="12.28515625" style="362" customWidth="1"/>
    <col min="8967" max="8967" width="12.140625" style="362" customWidth="1"/>
    <col min="8968" max="8970" width="12.28515625" style="362" customWidth="1"/>
    <col min="8971" max="8971" width="12" style="362" customWidth="1"/>
    <col min="8972" max="8972" width="11.28515625" style="362" customWidth="1"/>
    <col min="8973" max="9216" width="9.140625" style="362"/>
    <col min="9217" max="9217" width="9.85546875" style="362" customWidth="1"/>
    <col min="9218" max="9218" width="9.7109375" style="362" customWidth="1"/>
    <col min="9219" max="9219" width="9.85546875" style="362" customWidth="1"/>
    <col min="9220" max="9220" width="12.140625" style="362" customWidth="1"/>
    <col min="9221" max="9222" width="12.28515625" style="362" customWidth="1"/>
    <col min="9223" max="9223" width="12.140625" style="362" customWidth="1"/>
    <col min="9224" max="9226" width="12.28515625" style="362" customWidth="1"/>
    <col min="9227" max="9227" width="12" style="362" customWidth="1"/>
    <col min="9228" max="9228" width="11.28515625" style="362" customWidth="1"/>
    <col min="9229" max="9472" width="9.140625" style="362"/>
    <col min="9473" max="9473" width="9.85546875" style="362" customWidth="1"/>
    <col min="9474" max="9474" width="9.7109375" style="362" customWidth="1"/>
    <col min="9475" max="9475" width="9.85546875" style="362" customWidth="1"/>
    <col min="9476" max="9476" width="12.140625" style="362" customWidth="1"/>
    <col min="9477" max="9478" width="12.28515625" style="362" customWidth="1"/>
    <col min="9479" max="9479" width="12.140625" style="362" customWidth="1"/>
    <col min="9480" max="9482" width="12.28515625" style="362" customWidth="1"/>
    <col min="9483" max="9483" width="12" style="362" customWidth="1"/>
    <col min="9484" max="9484" width="11.28515625" style="362" customWidth="1"/>
    <col min="9485" max="9728" width="9.140625" style="362"/>
    <col min="9729" max="9729" width="9.85546875" style="362" customWidth="1"/>
    <col min="9730" max="9730" width="9.7109375" style="362" customWidth="1"/>
    <col min="9731" max="9731" width="9.85546875" style="362" customWidth="1"/>
    <col min="9732" max="9732" width="12.140625" style="362" customWidth="1"/>
    <col min="9733" max="9734" width="12.28515625" style="362" customWidth="1"/>
    <col min="9735" max="9735" width="12.140625" style="362" customWidth="1"/>
    <col min="9736" max="9738" width="12.28515625" style="362" customWidth="1"/>
    <col min="9739" max="9739" width="12" style="362" customWidth="1"/>
    <col min="9740" max="9740" width="11.28515625" style="362" customWidth="1"/>
    <col min="9741" max="9984" width="9.140625" style="362"/>
    <col min="9985" max="9985" width="9.85546875" style="362" customWidth="1"/>
    <col min="9986" max="9986" width="9.7109375" style="362" customWidth="1"/>
    <col min="9987" max="9987" width="9.85546875" style="362" customWidth="1"/>
    <col min="9988" max="9988" width="12.140625" style="362" customWidth="1"/>
    <col min="9989" max="9990" width="12.28515625" style="362" customWidth="1"/>
    <col min="9991" max="9991" width="12.140625" style="362" customWidth="1"/>
    <col min="9992" max="9994" width="12.28515625" style="362" customWidth="1"/>
    <col min="9995" max="9995" width="12" style="362" customWidth="1"/>
    <col min="9996" max="9996" width="11.28515625" style="362" customWidth="1"/>
    <col min="9997" max="10240" width="9.140625" style="362"/>
    <col min="10241" max="10241" width="9.85546875" style="362" customWidth="1"/>
    <col min="10242" max="10242" width="9.7109375" style="362" customWidth="1"/>
    <col min="10243" max="10243" width="9.85546875" style="362" customWidth="1"/>
    <col min="10244" max="10244" width="12.140625" style="362" customWidth="1"/>
    <col min="10245" max="10246" width="12.28515625" style="362" customWidth="1"/>
    <col min="10247" max="10247" width="12.140625" style="362" customWidth="1"/>
    <col min="10248" max="10250" width="12.28515625" style="362" customWidth="1"/>
    <col min="10251" max="10251" width="12" style="362" customWidth="1"/>
    <col min="10252" max="10252" width="11.28515625" style="362" customWidth="1"/>
    <col min="10253" max="10496" width="9.140625" style="362"/>
    <col min="10497" max="10497" width="9.85546875" style="362" customWidth="1"/>
    <col min="10498" max="10498" width="9.7109375" style="362" customWidth="1"/>
    <col min="10499" max="10499" width="9.85546875" style="362" customWidth="1"/>
    <col min="10500" max="10500" width="12.140625" style="362" customWidth="1"/>
    <col min="10501" max="10502" width="12.28515625" style="362" customWidth="1"/>
    <col min="10503" max="10503" width="12.140625" style="362" customWidth="1"/>
    <col min="10504" max="10506" width="12.28515625" style="362" customWidth="1"/>
    <col min="10507" max="10507" width="12" style="362" customWidth="1"/>
    <col min="10508" max="10508" width="11.28515625" style="362" customWidth="1"/>
    <col min="10509" max="10752" width="9.140625" style="362"/>
    <col min="10753" max="10753" width="9.85546875" style="362" customWidth="1"/>
    <col min="10754" max="10754" width="9.7109375" style="362" customWidth="1"/>
    <col min="10755" max="10755" width="9.85546875" style="362" customWidth="1"/>
    <col min="10756" max="10756" width="12.140625" style="362" customWidth="1"/>
    <col min="10757" max="10758" width="12.28515625" style="362" customWidth="1"/>
    <col min="10759" max="10759" width="12.140625" style="362" customWidth="1"/>
    <col min="10760" max="10762" width="12.28515625" style="362" customWidth="1"/>
    <col min="10763" max="10763" width="12" style="362" customWidth="1"/>
    <col min="10764" max="10764" width="11.28515625" style="362" customWidth="1"/>
    <col min="10765" max="11008" width="9.140625" style="362"/>
    <col min="11009" max="11009" width="9.85546875" style="362" customWidth="1"/>
    <col min="11010" max="11010" width="9.7109375" style="362" customWidth="1"/>
    <col min="11011" max="11011" width="9.85546875" style="362" customWidth="1"/>
    <col min="11012" max="11012" width="12.140625" style="362" customWidth="1"/>
    <col min="11013" max="11014" width="12.28515625" style="362" customWidth="1"/>
    <col min="11015" max="11015" width="12.140625" style="362" customWidth="1"/>
    <col min="11016" max="11018" width="12.28515625" style="362" customWidth="1"/>
    <col min="11019" max="11019" width="12" style="362" customWidth="1"/>
    <col min="11020" max="11020" width="11.28515625" style="362" customWidth="1"/>
    <col min="11021" max="11264" width="9.140625" style="362"/>
    <col min="11265" max="11265" width="9.85546875" style="362" customWidth="1"/>
    <col min="11266" max="11266" width="9.7109375" style="362" customWidth="1"/>
    <col min="11267" max="11267" width="9.85546875" style="362" customWidth="1"/>
    <col min="11268" max="11268" width="12.140625" style="362" customWidth="1"/>
    <col min="11269" max="11270" width="12.28515625" style="362" customWidth="1"/>
    <col min="11271" max="11271" width="12.140625" style="362" customWidth="1"/>
    <col min="11272" max="11274" width="12.28515625" style="362" customWidth="1"/>
    <col min="11275" max="11275" width="12" style="362" customWidth="1"/>
    <col min="11276" max="11276" width="11.28515625" style="362" customWidth="1"/>
    <col min="11277" max="11520" width="9.140625" style="362"/>
    <col min="11521" max="11521" width="9.85546875" style="362" customWidth="1"/>
    <col min="11522" max="11522" width="9.7109375" style="362" customWidth="1"/>
    <col min="11523" max="11523" width="9.85546875" style="362" customWidth="1"/>
    <col min="11524" max="11524" width="12.140625" style="362" customWidth="1"/>
    <col min="11525" max="11526" width="12.28515625" style="362" customWidth="1"/>
    <col min="11527" max="11527" width="12.140625" style="362" customWidth="1"/>
    <col min="11528" max="11530" width="12.28515625" style="362" customWidth="1"/>
    <col min="11531" max="11531" width="12" style="362" customWidth="1"/>
    <col min="11532" max="11532" width="11.28515625" style="362" customWidth="1"/>
    <col min="11533" max="11776" width="9.140625" style="362"/>
    <col min="11777" max="11777" width="9.85546875" style="362" customWidth="1"/>
    <col min="11778" max="11778" width="9.7109375" style="362" customWidth="1"/>
    <col min="11779" max="11779" width="9.85546875" style="362" customWidth="1"/>
    <col min="11780" max="11780" width="12.140625" style="362" customWidth="1"/>
    <col min="11781" max="11782" width="12.28515625" style="362" customWidth="1"/>
    <col min="11783" max="11783" width="12.140625" style="362" customWidth="1"/>
    <col min="11784" max="11786" width="12.28515625" style="362" customWidth="1"/>
    <col min="11787" max="11787" width="12" style="362" customWidth="1"/>
    <col min="11788" max="11788" width="11.28515625" style="362" customWidth="1"/>
    <col min="11789" max="12032" width="9.140625" style="362"/>
    <col min="12033" max="12033" width="9.85546875" style="362" customWidth="1"/>
    <col min="12034" max="12034" width="9.7109375" style="362" customWidth="1"/>
    <col min="12035" max="12035" width="9.85546875" style="362" customWidth="1"/>
    <col min="12036" max="12036" width="12.140625" style="362" customWidth="1"/>
    <col min="12037" max="12038" width="12.28515625" style="362" customWidth="1"/>
    <col min="12039" max="12039" width="12.140625" style="362" customWidth="1"/>
    <col min="12040" max="12042" width="12.28515625" style="362" customWidth="1"/>
    <col min="12043" max="12043" width="12" style="362" customWidth="1"/>
    <col min="12044" max="12044" width="11.28515625" style="362" customWidth="1"/>
    <col min="12045" max="12288" width="9.140625" style="362"/>
    <col min="12289" max="12289" width="9.85546875" style="362" customWidth="1"/>
    <col min="12290" max="12290" width="9.7109375" style="362" customWidth="1"/>
    <col min="12291" max="12291" width="9.85546875" style="362" customWidth="1"/>
    <col min="12292" max="12292" width="12.140625" style="362" customWidth="1"/>
    <col min="12293" max="12294" width="12.28515625" style="362" customWidth="1"/>
    <col min="12295" max="12295" width="12.140625" style="362" customWidth="1"/>
    <col min="12296" max="12298" width="12.28515625" style="362" customWidth="1"/>
    <col min="12299" max="12299" width="12" style="362" customWidth="1"/>
    <col min="12300" max="12300" width="11.28515625" style="362" customWidth="1"/>
    <col min="12301" max="12544" width="9.140625" style="362"/>
    <col min="12545" max="12545" width="9.85546875" style="362" customWidth="1"/>
    <col min="12546" max="12546" width="9.7109375" style="362" customWidth="1"/>
    <col min="12547" max="12547" width="9.85546875" style="362" customWidth="1"/>
    <col min="12548" max="12548" width="12.140625" style="362" customWidth="1"/>
    <col min="12549" max="12550" width="12.28515625" style="362" customWidth="1"/>
    <col min="12551" max="12551" width="12.140625" style="362" customWidth="1"/>
    <col min="12552" max="12554" width="12.28515625" style="362" customWidth="1"/>
    <col min="12555" max="12555" width="12" style="362" customWidth="1"/>
    <col min="12556" max="12556" width="11.28515625" style="362" customWidth="1"/>
    <col min="12557" max="12800" width="9.140625" style="362"/>
    <col min="12801" max="12801" width="9.85546875" style="362" customWidth="1"/>
    <col min="12802" max="12802" width="9.7109375" style="362" customWidth="1"/>
    <col min="12803" max="12803" width="9.85546875" style="362" customWidth="1"/>
    <col min="12804" max="12804" width="12.140625" style="362" customWidth="1"/>
    <col min="12805" max="12806" width="12.28515625" style="362" customWidth="1"/>
    <col min="12807" max="12807" width="12.140625" style="362" customWidth="1"/>
    <col min="12808" max="12810" width="12.28515625" style="362" customWidth="1"/>
    <col min="12811" max="12811" width="12" style="362" customWidth="1"/>
    <col min="12812" max="12812" width="11.28515625" style="362" customWidth="1"/>
    <col min="12813" max="13056" width="9.140625" style="362"/>
    <col min="13057" max="13057" width="9.85546875" style="362" customWidth="1"/>
    <col min="13058" max="13058" width="9.7109375" style="362" customWidth="1"/>
    <col min="13059" max="13059" width="9.85546875" style="362" customWidth="1"/>
    <col min="13060" max="13060" width="12.140625" style="362" customWidth="1"/>
    <col min="13061" max="13062" width="12.28515625" style="362" customWidth="1"/>
    <col min="13063" max="13063" width="12.140625" style="362" customWidth="1"/>
    <col min="13064" max="13066" width="12.28515625" style="362" customWidth="1"/>
    <col min="13067" max="13067" width="12" style="362" customWidth="1"/>
    <col min="13068" max="13068" width="11.28515625" style="362" customWidth="1"/>
    <col min="13069" max="13312" width="9.140625" style="362"/>
    <col min="13313" max="13313" width="9.85546875" style="362" customWidth="1"/>
    <col min="13314" max="13314" width="9.7109375" style="362" customWidth="1"/>
    <col min="13315" max="13315" width="9.85546875" style="362" customWidth="1"/>
    <col min="13316" max="13316" width="12.140625" style="362" customWidth="1"/>
    <col min="13317" max="13318" width="12.28515625" style="362" customWidth="1"/>
    <col min="13319" max="13319" width="12.140625" style="362" customWidth="1"/>
    <col min="13320" max="13322" width="12.28515625" style="362" customWidth="1"/>
    <col min="13323" max="13323" width="12" style="362" customWidth="1"/>
    <col min="13324" max="13324" width="11.28515625" style="362" customWidth="1"/>
    <col min="13325" max="13568" width="9.140625" style="362"/>
    <col min="13569" max="13569" width="9.85546875" style="362" customWidth="1"/>
    <col min="13570" max="13570" width="9.7109375" style="362" customWidth="1"/>
    <col min="13571" max="13571" width="9.85546875" style="362" customWidth="1"/>
    <col min="13572" max="13572" width="12.140625" style="362" customWidth="1"/>
    <col min="13573" max="13574" width="12.28515625" style="362" customWidth="1"/>
    <col min="13575" max="13575" width="12.140625" style="362" customWidth="1"/>
    <col min="13576" max="13578" width="12.28515625" style="362" customWidth="1"/>
    <col min="13579" max="13579" width="12" style="362" customWidth="1"/>
    <col min="13580" max="13580" width="11.28515625" style="362" customWidth="1"/>
    <col min="13581" max="13824" width="9.140625" style="362"/>
    <col min="13825" max="13825" width="9.85546875" style="362" customWidth="1"/>
    <col min="13826" max="13826" width="9.7109375" style="362" customWidth="1"/>
    <col min="13827" max="13827" width="9.85546875" style="362" customWidth="1"/>
    <col min="13828" max="13828" width="12.140625" style="362" customWidth="1"/>
    <col min="13829" max="13830" width="12.28515625" style="362" customWidth="1"/>
    <col min="13831" max="13831" width="12.140625" style="362" customWidth="1"/>
    <col min="13832" max="13834" width="12.28515625" style="362" customWidth="1"/>
    <col min="13835" max="13835" width="12" style="362" customWidth="1"/>
    <col min="13836" max="13836" width="11.28515625" style="362" customWidth="1"/>
    <col min="13837" max="14080" width="9.140625" style="362"/>
    <col min="14081" max="14081" width="9.85546875" style="362" customWidth="1"/>
    <col min="14082" max="14082" width="9.7109375" style="362" customWidth="1"/>
    <col min="14083" max="14083" width="9.85546875" style="362" customWidth="1"/>
    <col min="14084" max="14084" width="12.140625" style="362" customWidth="1"/>
    <col min="14085" max="14086" width="12.28515625" style="362" customWidth="1"/>
    <col min="14087" max="14087" width="12.140625" style="362" customWidth="1"/>
    <col min="14088" max="14090" width="12.28515625" style="362" customWidth="1"/>
    <col min="14091" max="14091" width="12" style="362" customWidth="1"/>
    <col min="14092" max="14092" width="11.28515625" style="362" customWidth="1"/>
    <col min="14093" max="14336" width="9.140625" style="362"/>
    <col min="14337" max="14337" width="9.85546875" style="362" customWidth="1"/>
    <col min="14338" max="14338" width="9.7109375" style="362" customWidth="1"/>
    <col min="14339" max="14339" width="9.85546875" style="362" customWidth="1"/>
    <col min="14340" max="14340" width="12.140625" style="362" customWidth="1"/>
    <col min="14341" max="14342" width="12.28515625" style="362" customWidth="1"/>
    <col min="14343" max="14343" width="12.140625" style="362" customWidth="1"/>
    <col min="14344" max="14346" width="12.28515625" style="362" customWidth="1"/>
    <col min="14347" max="14347" width="12" style="362" customWidth="1"/>
    <col min="14348" max="14348" width="11.28515625" style="362" customWidth="1"/>
    <col min="14349" max="14592" width="9.140625" style="362"/>
    <col min="14593" max="14593" width="9.85546875" style="362" customWidth="1"/>
    <col min="14594" max="14594" width="9.7109375" style="362" customWidth="1"/>
    <col min="14595" max="14595" width="9.85546875" style="362" customWidth="1"/>
    <col min="14596" max="14596" width="12.140625" style="362" customWidth="1"/>
    <col min="14597" max="14598" width="12.28515625" style="362" customWidth="1"/>
    <col min="14599" max="14599" width="12.140625" style="362" customWidth="1"/>
    <col min="14600" max="14602" width="12.28515625" style="362" customWidth="1"/>
    <col min="14603" max="14603" width="12" style="362" customWidth="1"/>
    <col min="14604" max="14604" width="11.28515625" style="362" customWidth="1"/>
    <col min="14605" max="14848" width="9.140625" style="362"/>
    <col min="14849" max="14849" width="9.85546875" style="362" customWidth="1"/>
    <col min="14850" max="14850" width="9.7109375" style="362" customWidth="1"/>
    <col min="14851" max="14851" width="9.85546875" style="362" customWidth="1"/>
    <col min="14852" max="14852" width="12.140625" style="362" customWidth="1"/>
    <col min="14853" max="14854" width="12.28515625" style="362" customWidth="1"/>
    <col min="14855" max="14855" width="12.140625" style="362" customWidth="1"/>
    <col min="14856" max="14858" width="12.28515625" style="362" customWidth="1"/>
    <col min="14859" max="14859" width="12" style="362" customWidth="1"/>
    <col min="14860" max="14860" width="11.28515625" style="362" customWidth="1"/>
    <col min="14861" max="15104" width="9.140625" style="362"/>
    <col min="15105" max="15105" width="9.85546875" style="362" customWidth="1"/>
    <col min="15106" max="15106" width="9.7109375" style="362" customWidth="1"/>
    <col min="15107" max="15107" width="9.85546875" style="362" customWidth="1"/>
    <col min="15108" max="15108" width="12.140625" style="362" customWidth="1"/>
    <col min="15109" max="15110" width="12.28515625" style="362" customWidth="1"/>
    <col min="15111" max="15111" width="12.140625" style="362" customWidth="1"/>
    <col min="15112" max="15114" width="12.28515625" style="362" customWidth="1"/>
    <col min="15115" max="15115" width="12" style="362" customWidth="1"/>
    <col min="15116" max="15116" width="11.28515625" style="362" customWidth="1"/>
    <col min="15117" max="15360" width="9.140625" style="362"/>
    <col min="15361" max="15361" width="9.85546875" style="362" customWidth="1"/>
    <col min="15362" max="15362" width="9.7109375" style="362" customWidth="1"/>
    <col min="15363" max="15363" width="9.85546875" style="362" customWidth="1"/>
    <col min="15364" max="15364" width="12.140625" style="362" customWidth="1"/>
    <col min="15365" max="15366" width="12.28515625" style="362" customWidth="1"/>
    <col min="15367" max="15367" width="12.140625" style="362" customWidth="1"/>
    <col min="15368" max="15370" width="12.28515625" style="362" customWidth="1"/>
    <col min="15371" max="15371" width="12" style="362" customWidth="1"/>
    <col min="15372" max="15372" width="11.28515625" style="362" customWidth="1"/>
    <col min="15373" max="15616" width="9.140625" style="362"/>
    <col min="15617" max="15617" width="9.85546875" style="362" customWidth="1"/>
    <col min="15618" max="15618" width="9.7109375" style="362" customWidth="1"/>
    <col min="15619" max="15619" width="9.85546875" style="362" customWidth="1"/>
    <col min="15620" max="15620" width="12.140625" style="362" customWidth="1"/>
    <col min="15621" max="15622" width="12.28515625" style="362" customWidth="1"/>
    <col min="15623" max="15623" width="12.140625" style="362" customWidth="1"/>
    <col min="15624" max="15626" width="12.28515625" style="362" customWidth="1"/>
    <col min="15627" max="15627" width="12" style="362" customWidth="1"/>
    <col min="15628" max="15628" width="11.28515625" style="362" customWidth="1"/>
    <col min="15629" max="15872" width="9.140625" style="362"/>
    <col min="15873" max="15873" width="9.85546875" style="362" customWidth="1"/>
    <col min="15874" max="15874" width="9.7109375" style="362" customWidth="1"/>
    <col min="15875" max="15875" width="9.85546875" style="362" customWidth="1"/>
    <col min="15876" max="15876" width="12.140625" style="362" customWidth="1"/>
    <col min="15877" max="15878" width="12.28515625" style="362" customWidth="1"/>
    <col min="15879" max="15879" width="12.140625" style="362" customWidth="1"/>
    <col min="15880" max="15882" width="12.28515625" style="362" customWidth="1"/>
    <col min="15883" max="15883" width="12" style="362" customWidth="1"/>
    <col min="15884" max="15884" width="11.28515625" style="362" customWidth="1"/>
    <col min="15885" max="16128" width="9.140625" style="362"/>
    <col min="16129" max="16129" width="9.85546875" style="362" customWidth="1"/>
    <col min="16130" max="16130" width="9.7109375" style="362" customWidth="1"/>
    <col min="16131" max="16131" width="9.85546875" style="362" customWidth="1"/>
    <col min="16132" max="16132" width="12.140625" style="362" customWidth="1"/>
    <col min="16133" max="16134" width="12.28515625" style="362" customWidth="1"/>
    <col min="16135" max="16135" width="12.140625" style="362" customWidth="1"/>
    <col min="16136" max="16138" width="12.28515625" style="362" customWidth="1"/>
    <col min="16139" max="16139" width="12" style="362" customWidth="1"/>
    <col min="16140" max="16140" width="11.28515625" style="362" customWidth="1"/>
    <col min="16141" max="16384" width="9.140625" style="362"/>
  </cols>
  <sheetData>
    <row r="1" spans="1:13" ht="15.75">
      <c r="I1" s="363"/>
    </row>
    <row r="2" spans="1:13" ht="15">
      <c r="I2" s="307"/>
      <c r="J2" s="83"/>
      <c r="K2" s="83"/>
      <c r="L2" s="364"/>
    </row>
    <row r="3" spans="1:13" ht="15">
      <c r="I3" s="307"/>
      <c r="J3" s="83"/>
      <c r="K3" s="83"/>
      <c r="L3" s="364"/>
    </row>
    <row r="4" spans="1:13" ht="15">
      <c r="I4" s="515"/>
      <c r="J4" s="501"/>
      <c r="K4" s="501"/>
      <c r="L4" s="364"/>
    </row>
    <row r="5" spans="1:13" ht="15">
      <c r="I5" s="307"/>
      <c r="J5" s="83"/>
      <c r="K5" s="83"/>
      <c r="L5" s="364"/>
    </row>
    <row r="6" spans="1:13" ht="18" thickBot="1">
      <c r="E6" s="365" t="s">
        <v>379</v>
      </c>
      <c r="F6" s="365"/>
      <c r="G6" s="365"/>
      <c r="H6" s="365"/>
      <c r="L6" s="364"/>
    </row>
    <row r="7" spans="1:13" ht="13.5" hidden="1" thickBot="1">
      <c r="L7" s="364"/>
    </row>
    <row r="8" spans="1:13" ht="15.75">
      <c r="A8" s="528" t="s">
        <v>380</v>
      </c>
      <c r="B8" s="529"/>
      <c r="C8" s="530"/>
      <c r="D8" s="531" t="s">
        <v>381</v>
      </c>
      <c r="E8" s="531" t="s">
        <v>382</v>
      </c>
      <c r="F8" s="531" t="s">
        <v>383</v>
      </c>
      <c r="G8" s="531" t="s">
        <v>384</v>
      </c>
      <c r="H8" s="531" t="s">
        <v>385</v>
      </c>
      <c r="I8" s="531" t="s">
        <v>386</v>
      </c>
      <c r="J8" s="531" t="s">
        <v>387</v>
      </c>
      <c r="K8" s="531" t="s">
        <v>388</v>
      </c>
      <c r="L8" s="364"/>
    </row>
    <row r="9" spans="1:13" ht="16.5" thickBot="1">
      <c r="A9" s="366" t="s">
        <v>0</v>
      </c>
      <c r="B9" s="367" t="s">
        <v>1</v>
      </c>
      <c r="C9" s="368" t="s">
        <v>354</v>
      </c>
      <c r="D9" s="532"/>
      <c r="E9" s="532"/>
      <c r="F9" s="532"/>
      <c r="G9" s="532"/>
      <c r="H9" s="532"/>
      <c r="I9" s="532"/>
      <c r="J9" s="532"/>
      <c r="K9" s="532"/>
      <c r="L9" s="364"/>
      <c r="M9" s="369"/>
    </row>
    <row r="10" spans="1:13" hidden="1">
      <c r="A10" s="370"/>
      <c r="B10" s="371"/>
      <c r="C10" s="372"/>
      <c r="D10" s="373"/>
      <c r="E10" s="373"/>
      <c r="F10" s="373"/>
      <c r="G10" s="373"/>
      <c r="H10" s="373"/>
      <c r="I10" s="373"/>
      <c r="J10" s="373"/>
      <c r="K10" s="373"/>
      <c r="L10" s="364"/>
    </row>
    <row r="11" spans="1:13" ht="15.75">
      <c r="A11" s="374"/>
      <c r="B11" s="375"/>
      <c r="C11" s="376"/>
      <c r="D11" s="377"/>
      <c r="E11" s="377"/>
      <c r="F11" s="377"/>
      <c r="G11" s="377"/>
      <c r="H11" s="378"/>
      <c r="I11" s="377"/>
      <c r="J11" s="377"/>
      <c r="K11" s="377"/>
      <c r="L11" s="364"/>
    </row>
    <row r="12" spans="1:13" ht="15.75">
      <c r="A12" s="374">
        <v>900</v>
      </c>
      <c r="B12" s="375">
        <v>90003</v>
      </c>
      <c r="C12" s="376">
        <v>4210</v>
      </c>
      <c r="D12" s="379">
        <v>0</v>
      </c>
      <c r="E12" s="379">
        <v>0</v>
      </c>
      <c r="F12" s="379">
        <v>0</v>
      </c>
      <c r="G12" s="379">
        <v>0</v>
      </c>
      <c r="H12" s="379">
        <v>0</v>
      </c>
      <c r="I12" s="379">
        <v>0</v>
      </c>
      <c r="J12" s="379">
        <f>1500-740</f>
        <v>760</v>
      </c>
      <c r="K12" s="379">
        <v>1500</v>
      </c>
      <c r="L12" s="380"/>
    </row>
    <row r="13" spans="1:13" ht="15.75" hidden="1">
      <c r="A13" s="381"/>
      <c r="B13" s="360"/>
      <c r="C13" s="382"/>
      <c r="D13" s="379"/>
      <c r="E13" s="379"/>
      <c r="F13" s="379"/>
      <c r="G13" s="379"/>
      <c r="H13" s="379"/>
      <c r="I13" s="379"/>
      <c r="J13" s="379"/>
      <c r="K13" s="379"/>
      <c r="L13" s="380"/>
    </row>
    <row r="14" spans="1:13" ht="15.75">
      <c r="A14" s="383">
        <v>900</v>
      </c>
      <c r="B14" s="384">
        <v>90003</v>
      </c>
      <c r="C14" s="385">
        <v>4300</v>
      </c>
      <c r="D14" s="379">
        <v>0</v>
      </c>
      <c r="E14" s="379">
        <v>0</v>
      </c>
      <c r="F14" s="379">
        <v>0</v>
      </c>
      <c r="G14" s="379">
        <v>0</v>
      </c>
      <c r="H14" s="379">
        <v>0</v>
      </c>
      <c r="I14" s="379">
        <v>0</v>
      </c>
      <c r="J14" s="379">
        <v>300</v>
      </c>
      <c r="K14" s="379">
        <v>700</v>
      </c>
      <c r="L14" s="380"/>
    </row>
    <row r="15" spans="1:13" ht="15.75">
      <c r="A15" s="383">
        <v>900</v>
      </c>
      <c r="B15" s="384">
        <v>90004</v>
      </c>
      <c r="C15" s="385">
        <v>4210</v>
      </c>
      <c r="D15" s="379">
        <f>700-213-487</f>
        <v>0</v>
      </c>
      <c r="E15" s="379">
        <v>0</v>
      </c>
      <c r="F15" s="379">
        <v>0</v>
      </c>
      <c r="G15" s="379">
        <v>0</v>
      </c>
      <c r="H15" s="379">
        <f>1000+5000-5000</f>
        <v>1000</v>
      </c>
      <c r="I15" s="379">
        <v>0</v>
      </c>
      <c r="J15" s="379">
        <v>0</v>
      </c>
      <c r="K15" s="379">
        <v>2300</v>
      </c>
      <c r="L15" s="380"/>
    </row>
    <row r="16" spans="1:13" ht="15.75">
      <c r="A16" s="383">
        <v>900</v>
      </c>
      <c r="B16" s="384">
        <v>90004</v>
      </c>
      <c r="C16" s="385">
        <v>4300</v>
      </c>
      <c r="D16" s="379">
        <f>500-500</f>
        <v>0</v>
      </c>
      <c r="E16" s="379">
        <f>4000-3300-700</f>
        <v>0</v>
      </c>
      <c r="F16" s="379">
        <v>0</v>
      </c>
      <c r="G16" s="379">
        <v>0</v>
      </c>
      <c r="H16" s="379">
        <f>2000-2000</f>
        <v>0</v>
      </c>
      <c r="I16" s="379">
        <v>0</v>
      </c>
      <c r="J16" s="379">
        <v>0</v>
      </c>
      <c r="K16" s="379">
        <v>2000</v>
      </c>
      <c r="L16" s="380"/>
    </row>
    <row r="17" spans="1:12" ht="15.75">
      <c r="A17" s="383">
        <v>921</v>
      </c>
      <c r="B17" s="384">
        <v>92105</v>
      </c>
      <c r="C17" s="385">
        <v>4170</v>
      </c>
      <c r="D17" s="379"/>
      <c r="E17" s="379"/>
      <c r="F17" s="379"/>
      <c r="G17" s="379"/>
      <c r="H17" s="379"/>
      <c r="I17" s="379"/>
      <c r="J17" s="379">
        <v>740</v>
      </c>
      <c r="K17" s="379"/>
      <c r="L17" s="380"/>
    </row>
    <row r="18" spans="1:12" ht="15.75">
      <c r="A18" s="383">
        <v>921</v>
      </c>
      <c r="B18" s="384">
        <v>92105</v>
      </c>
      <c r="C18" s="385">
        <v>4210</v>
      </c>
      <c r="D18" s="379">
        <v>1000</v>
      </c>
      <c r="E18" s="379">
        <f>1000+1100</f>
        <v>2100</v>
      </c>
      <c r="F18" s="379">
        <v>7000</v>
      </c>
      <c r="G18" s="379">
        <v>2000</v>
      </c>
      <c r="H18" s="379">
        <f>6000+2000</f>
        <v>8000</v>
      </c>
      <c r="I18" s="379">
        <f>1000+5432-3000</f>
        <v>3432</v>
      </c>
      <c r="J18" s="379">
        <v>1500</v>
      </c>
      <c r="K18" s="379">
        <v>4000</v>
      </c>
      <c r="L18" s="380"/>
    </row>
    <row r="19" spans="1:12" ht="15.75">
      <c r="A19" s="383">
        <v>921</v>
      </c>
      <c r="B19" s="384">
        <v>92105</v>
      </c>
      <c r="C19" s="385">
        <v>4300</v>
      </c>
      <c r="D19" s="379">
        <f>5000+3087</f>
        <v>8087</v>
      </c>
      <c r="E19" s="379">
        <f>3300-3300+700</f>
        <v>700</v>
      </c>
      <c r="F19" s="379">
        <v>7000</v>
      </c>
      <c r="G19" s="379">
        <v>6000</v>
      </c>
      <c r="H19" s="379">
        <f>8000+9000</f>
        <v>17000</v>
      </c>
      <c r="I19" s="379">
        <f>5000+5000+3000</f>
        <v>13000</v>
      </c>
      <c r="J19" s="379">
        <v>1000</v>
      </c>
      <c r="K19" s="379">
        <f>8000-4489</f>
        <v>3511</v>
      </c>
      <c r="L19" s="380"/>
    </row>
    <row r="20" spans="1:12" ht="15.75">
      <c r="A20" s="374">
        <v>921</v>
      </c>
      <c r="B20" s="375">
        <v>92109</v>
      </c>
      <c r="C20" s="376">
        <v>4210</v>
      </c>
      <c r="D20" s="379">
        <f>2000-1100</f>
        <v>900</v>
      </c>
      <c r="E20" s="379">
        <f>700+429+160</f>
        <v>1289</v>
      </c>
      <c r="F20" s="379">
        <v>4000</v>
      </c>
      <c r="G20" s="379">
        <v>0</v>
      </c>
      <c r="H20" s="379">
        <v>6000</v>
      </c>
      <c r="I20" s="379">
        <f>5000+5000</f>
        <v>10000</v>
      </c>
      <c r="J20" s="379">
        <v>1000</v>
      </c>
      <c r="K20" s="379">
        <v>800</v>
      </c>
      <c r="L20" s="380"/>
    </row>
    <row r="21" spans="1:12" ht="15.75" hidden="1">
      <c r="A21" s="374"/>
      <c r="B21" s="375"/>
      <c r="C21" s="376"/>
      <c r="D21" s="379"/>
      <c r="E21" s="379"/>
      <c r="F21" s="379"/>
      <c r="G21" s="379"/>
      <c r="H21" s="379"/>
      <c r="I21" s="379"/>
      <c r="J21" s="379"/>
      <c r="K21" s="379"/>
      <c r="L21" s="380"/>
    </row>
    <row r="22" spans="1:12" ht="15.75" hidden="1">
      <c r="A22" s="374"/>
      <c r="B22" s="375"/>
      <c r="C22" s="376"/>
      <c r="D22" s="379"/>
      <c r="E22" s="379"/>
      <c r="F22" s="379"/>
      <c r="G22" s="379"/>
      <c r="H22" s="379"/>
      <c r="I22" s="379"/>
      <c r="J22" s="379"/>
      <c r="K22" s="379"/>
      <c r="L22" s="380"/>
    </row>
    <row r="23" spans="1:12" ht="15.75" hidden="1">
      <c r="A23" s="374"/>
      <c r="B23" s="375"/>
      <c r="C23" s="376"/>
      <c r="D23" s="379"/>
      <c r="E23" s="379"/>
      <c r="F23" s="379"/>
      <c r="G23" s="379"/>
      <c r="H23" s="379"/>
      <c r="I23" s="379"/>
      <c r="J23" s="379"/>
      <c r="K23" s="379"/>
      <c r="L23" s="380"/>
    </row>
    <row r="24" spans="1:12" ht="15.75" hidden="1">
      <c r="A24" s="374"/>
      <c r="B24" s="375"/>
      <c r="C24" s="376"/>
      <c r="D24" s="379"/>
      <c r="E24" s="379"/>
      <c r="F24" s="379"/>
      <c r="G24" s="379"/>
      <c r="H24" s="379"/>
      <c r="I24" s="379"/>
      <c r="J24" s="379"/>
      <c r="K24" s="379"/>
      <c r="L24" s="380"/>
    </row>
    <row r="25" spans="1:12" ht="15.75" hidden="1">
      <c r="A25" s="374"/>
      <c r="B25" s="375"/>
      <c r="C25" s="376"/>
      <c r="D25" s="379"/>
      <c r="E25" s="379"/>
      <c r="F25" s="379"/>
      <c r="G25" s="379"/>
      <c r="H25" s="379"/>
      <c r="I25" s="379"/>
      <c r="J25" s="379"/>
      <c r="K25" s="379"/>
      <c r="L25" s="380"/>
    </row>
    <row r="26" spans="1:12" ht="15.75">
      <c r="A26" s="374">
        <v>921</v>
      </c>
      <c r="B26" s="375">
        <v>92109</v>
      </c>
      <c r="C26" s="376">
        <v>4300</v>
      </c>
      <c r="D26" s="379">
        <f>1000-1000</f>
        <v>0</v>
      </c>
      <c r="E26" s="379">
        <f>1000-160+3300+700-1800</f>
        <v>3040</v>
      </c>
      <c r="F26" s="379">
        <v>8000</v>
      </c>
      <c r="G26" s="379">
        <v>2000</v>
      </c>
      <c r="H26" s="379">
        <f>2000+7621</f>
        <v>9621</v>
      </c>
      <c r="I26" s="379">
        <v>3000</v>
      </c>
      <c r="J26" s="379">
        <v>1000</v>
      </c>
      <c r="K26" s="379">
        <v>1000</v>
      </c>
      <c r="L26" s="380"/>
    </row>
    <row r="27" spans="1:12" ht="15.75">
      <c r="A27" s="374">
        <v>926</v>
      </c>
      <c r="B27" s="375">
        <v>92601</v>
      </c>
      <c r="C27" s="376">
        <v>4300</v>
      </c>
      <c r="D27" s="379">
        <v>0</v>
      </c>
      <c r="E27" s="379">
        <v>0</v>
      </c>
      <c r="F27" s="379">
        <v>8000</v>
      </c>
      <c r="G27" s="379">
        <v>2000</v>
      </c>
      <c r="H27" s="379">
        <f>4000-4000</f>
        <v>0</v>
      </c>
      <c r="I27" s="379">
        <v>0</v>
      </c>
      <c r="J27" s="379">
        <v>0</v>
      </c>
      <c r="K27" s="379">
        <v>0</v>
      </c>
      <c r="L27" s="380"/>
    </row>
    <row r="28" spans="1:12" ht="15.75">
      <c r="A28" s="374">
        <v>926</v>
      </c>
      <c r="B28" s="375">
        <v>92605</v>
      </c>
      <c r="C28" s="376">
        <v>4210</v>
      </c>
      <c r="D28" s="379">
        <v>0</v>
      </c>
      <c r="E28" s="379">
        <v>0</v>
      </c>
      <c r="F28" s="379">
        <f>2000+2945</f>
        <v>4945</v>
      </c>
      <c r="G28" s="379">
        <v>1000</v>
      </c>
      <c r="H28" s="379">
        <f>2000+5000</f>
        <v>7000</v>
      </c>
      <c r="I28" s="379">
        <v>2000</v>
      </c>
      <c r="J28" s="379">
        <v>2000</v>
      </c>
      <c r="K28" s="379">
        <v>3000</v>
      </c>
      <c r="L28" s="380"/>
    </row>
    <row r="29" spans="1:12" ht="15.75" hidden="1">
      <c r="A29" s="374"/>
      <c r="B29" s="375"/>
      <c r="C29" s="376"/>
      <c r="D29" s="379"/>
      <c r="E29" s="379"/>
      <c r="F29" s="379"/>
      <c r="G29" s="379"/>
      <c r="H29" s="379"/>
      <c r="I29" s="379"/>
      <c r="J29" s="379"/>
      <c r="K29" s="379"/>
      <c r="L29" s="380"/>
    </row>
    <row r="30" spans="1:12" ht="15.75" hidden="1">
      <c r="A30" s="386"/>
      <c r="C30" s="387"/>
      <c r="D30" s="377"/>
      <c r="E30" s="377"/>
      <c r="F30" s="377"/>
      <c r="G30" s="377"/>
      <c r="H30" s="377"/>
      <c r="I30" s="377"/>
      <c r="J30" s="377"/>
      <c r="K30" s="377"/>
      <c r="L30" s="380"/>
    </row>
    <row r="31" spans="1:12" ht="15.75">
      <c r="A31" s="383">
        <v>926</v>
      </c>
      <c r="B31" s="384">
        <v>92605</v>
      </c>
      <c r="C31" s="385">
        <v>4300</v>
      </c>
      <c r="D31" s="377">
        <v>0</v>
      </c>
      <c r="E31" s="377">
        <v>0</v>
      </c>
      <c r="F31" s="377">
        <v>0</v>
      </c>
      <c r="G31" s="377">
        <v>5574</v>
      </c>
      <c r="H31" s="377">
        <f>4000+5000</f>
        <v>9000</v>
      </c>
      <c r="I31" s="377">
        <v>0</v>
      </c>
      <c r="J31" s="377">
        <f>0+1299</f>
        <v>1299</v>
      </c>
      <c r="K31" s="377">
        <v>3000</v>
      </c>
      <c r="L31" s="380"/>
    </row>
    <row r="32" spans="1:12" ht="16.5" thickBot="1">
      <c r="A32" s="386"/>
      <c r="C32" s="387"/>
      <c r="D32" s="377"/>
      <c r="E32" s="377"/>
      <c r="F32" s="377"/>
      <c r="G32" s="377"/>
      <c r="H32" s="377"/>
      <c r="I32" s="377"/>
      <c r="J32" s="377"/>
      <c r="K32" s="377"/>
      <c r="L32" s="364"/>
    </row>
    <row r="33" spans="1:12" ht="16.5" thickBot="1">
      <c r="A33" s="525" t="s">
        <v>389</v>
      </c>
      <c r="B33" s="526"/>
      <c r="C33" s="527"/>
      <c r="D33" s="388">
        <f t="shared" ref="D33:K33" si="0">SUM(D12+D14+D15+D16+D18+D19+D20+D26+D27+D28+D31)</f>
        <v>9987</v>
      </c>
      <c r="E33" s="388">
        <f t="shared" si="0"/>
        <v>7129</v>
      </c>
      <c r="F33" s="388">
        <f t="shared" si="0"/>
        <v>38945</v>
      </c>
      <c r="G33" s="388">
        <f t="shared" si="0"/>
        <v>18574</v>
      </c>
      <c r="H33" s="388">
        <f t="shared" si="0"/>
        <v>57621</v>
      </c>
      <c r="I33" s="388">
        <f t="shared" si="0"/>
        <v>31432</v>
      </c>
      <c r="J33" s="388">
        <f>SUM(J12:J31)</f>
        <v>9599</v>
      </c>
      <c r="K33" s="388">
        <f t="shared" si="0"/>
        <v>21811</v>
      </c>
      <c r="L33" s="380"/>
    </row>
    <row r="34" spans="1:12" hidden="1">
      <c r="L34" s="364"/>
    </row>
    <row r="35" spans="1:12" ht="15.75">
      <c r="B35" s="524"/>
      <c r="C35" s="524"/>
      <c r="D35" s="389"/>
      <c r="L35" s="364"/>
    </row>
    <row r="36" spans="1:12" ht="15.75">
      <c r="B36" s="524" t="s">
        <v>390</v>
      </c>
      <c r="C36" s="524"/>
      <c r="D36" s="389">
        <f>SUM(D33:K33)</f>
        <v>195098</v>
      </c>
    </row>
  </sheetData>
  <mergeCells count="13">
    <mergeCell ref="B36:C36"/>
    <mergeCell ref="A33:C33"/>
    <mergeCell ref="B35:C35"/>
    <mergeCell ref="I4:K4"/>
    <mergeCell ref="A8:C8"/>
    <mergeCell ref="D8:D9"/>
    <mergeCell ref="E8:E9"/>
    <mergeCell ref="F8:F9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&amp;RZałącznik Nr 4
do Uchwały Nr XII/.../2024 
Uchwały Gminy Komorniki z dnia 28 listopada 2024r.
w sprawie uchwały budżetowej na 2024r.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3</vt:i4>
      </vt:variant>
    </vt:vector>
  </HeadingPairs>
  <TitlesOfParts>
    <vt:vector size="15" baseType="lpstr">
      <vt:lpstr>Dochody(1)</vt:lpstr>
      <vt:lpstr>Dochody-zlecone(1a)</vt:lpstr>
      <vt:lpstr>dochody majątkowe(1B)</vt:lpstr>
      <vt:lpstr>Wydatki(2)</vt:lpstr>
      <vt:lpstr>Wydatki-zlecone(2a)</vt:lpstr>
      <vt:lpstr>wydatki-majątkowe(2b)</vt:lpstr>
      <vt:lpstr>inwestycje(2c)</vt:lpstr>
      <vt:lpstr>dotacje(4)</vt:lpstr>
      <vt:lpstr>sołtysi(6)</vt:lpstr>
      <vt:lpstr>środki europ(7)</vt:lpstr>
      <vt:lpstr>COVID19(8)</vt:lpstr>
      <vt:lpstr>Fundusz Pomocy (9)</vt:lpstr>
      <vt:lpstr>'Dochody(1)'!Tytuły_wydruku</vt:lpstr>
      <vt:lpstr>'Wydatki(2)'!Tytuły_wydruku</vt:lpstr>
      <vt:lpstr>'wydatki-majątkowe(2b)'!Tytuły_wydruku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2022-02-14T00:04:27Z</dcterms:created>
  <dcterms:modified xsi:type="dcterms:W3CDTF">2024-11-26T12:01:43Z</dcterms:modified>
</cp:coreProperties>
</file>