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codeName="Ten_skoroszyt"/>
  <xr:revisionPtr revIDLastSave="0" documentId="13_ncr:1_{A2100A53-E498-4E54-98B6-071DD72685D4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Dochody(1)" sheetId="1" r:id="rId1"/>
    <sheet name="Dochody-zlecone(1a)" sheetId="11" r:id="rId2"/>
    <sheet name="dochody majątkowe(1B)" sheetId="18" r:id="rId3"/>
    <sheet name="Wydatki(2)" sheetId="2" r:id="rId4"/>
    <sheet name="Wydatki-zlecone(2a)" sheetId="12" r:id="rId5"/>
    <sheet name="wydatki-majątkowe(2b)" sheetId="5" r:id="rId6"/>
    <sheet name="inwestycje(2c)" sheetId="23" r:id="rId7"/>
    <sheet name="przychody_rozchody(3)" sheetId="24" r:id="rId8"/>
    <sheet name="dotacje(4)" sheetId="15" r:id="rId9"/>
    <sheet name="ochr_środ(5)" sheetId="27" r:id="rId10"/>
    <sheet name="sołtysi(6)" sheetId="26" r:id="rId11"/>
    <sheet name="środki europ(7)" sheetId="25" r:id="rId12"/>
    <sheet name="COVID19(8)" sheetId="28" r:id="rId13"/>
    <sheet name="Fundusz Pomocy (9)" sheetId="22" r:id="rId14"/>
  </sheets>
  <definedNames>
    <definedName name="_xlnm._FilterDatabase" localSheetId="3" hidden="1">'Wydatki(2)'!$A$6:$E$599</definedName>
    <definedName name="_xlnm.Print_Titles" localSheetId="0">'Dochody(1)'!$1:$1</definedName>
    <definedName name="_xlnm.Print_Titles" localSheetId="3">'Wydatki(2)'!$1:$2</definedName>
    <definedName name="_xlnm.Print_Titles" localSheetId="5">'wydatki-majątkowe(2b)'!$1:$1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2" l="1"/>
  <c r="F157" i="1"/>
  <c r="G115" i="23"/>
  <c r="F116" i="1"/>
  <c r="G116" i="1"/>
  <c r="E116" i="1"/>
  <c r="H117" i="1"/>
  <c r="G51" i="23"/>
  <c r="F415" i="2"/>
  <c r="F414" i="2"/>
  <c r="F48" i="22"/>
  <c r="F47" i="22"/>
  <c r="F83" i="5"/>
  <c r="H91" i="23"/>
  <c r="H132" i="23"/>
  <c r="H155" i="23"/>
  <c r="G169" i="23"/>
  <c r="F170" i="2"/>
  <c r="G170" i="2"/>
  <c r="F568" i="2"/>
  <c r="F76" i="5"/>
  <c r="H169" i="23"/>
  <c r="H177" i="23"/>
  <c r="G177" i="23"/>
  <c r="H174" i="23"/>
  <c r="H151" i="23"/>
  <c r="G151" i="23"/>
  <c r="H68" i="23"/>
  <c r="G68" i="23"/>
  <c r="H115" i="23"/>
  <c r="H113" i="23"/>
  <c r="G113" i="23"/>
  <c r="H129" i="23"/>
  <c r="H128" i="23" s="1"/>
  <c r="G12" i="23"/>
  <c r="G49" i="23"/>
  <c r="H146" i="23"/>
  <c r="G144" i="23"/>
  <c r="H144" i="23"/>
  <c r="H143" i="23" s="1"/>
  <c r="H153" i="23"/>
  <c r="H141" i="23"/>
  <c r="G141" i="23"/>
  <c r="H127" i="23"/>
  <c r="H107" i="23"/>
  <c r="H106" i="23" s="1"/>
  <c r="H97" i="23"/>
  <c r="H96" i="23" s="1"/>
  <c r="H70" i="23"/>
  <c r="H55" i="23"/>
  <c r="G55" i="23"/>
  <c r="H142" i="23" l="1"/>
  <c r="F48" i="5"/>
  <c r="G48" i="5"/>
  <c r="H48" i="5"/>
  <c r="E48" i="5"/>
  <c r="H55" i="5"/>
  <c r="F54" i="5"/>
  <c r="G54" i="5"/>
  <c r="H54" i="5"/>
  <c r="E54" i="5"/>
  <c r="G50" i="5"/>
  <c r="F47" i="5"/>
  <c r="H65" i="5"/>
  <c r="F63" i="5"/>
  <c r="G63" i="5"/>
  <c r="E63" i="5"/>
  <c r="H57" i="5"/>
  <c r="H56" i="5" s="1"/>
  <c r="F56" i="5"/>
  <c r="G56" i="5"/>
  <c r="E56" i="5"/>
  <c r="H41" i="5"/>
  <c r="H40" i="5" s="1"/>
  <c r="G40" i="5"/>
  <c r="F40" i="5"/>
  <c r="E40" i="5"/>
  <c r="F12" i="5"/>
  <c r="G12" i="5"/>
  <c r="E12" i="5"/>
  <c r="H14" i="5"/>
  <c r="F257" i="2"/>
  <c r="G257" i="2"/>
  <c r="F309" i="2"/>
  <c r="G309" i="2"/>
  <c r="H292" i="2"/>
  <c r="H293" i="2"/>
  <c r="H294" i="2"/>
  <c r="H295" i="2"/>
  <c r="H296" i="2"/>
  <c r="H297" i="2"/>
  <c r="H259" i="2"/>
  <c r="H261" i="2"/>
  <c r="H263" i="2"/>
  <c r="H264" i="2"/>
  <c r="H265" i="2"/>
  <c r="H266" i="2"/>
  <c r="H267" i="2"/>
  <c r="H268" i="2"/>
  <c r="H270" i="2"/>
  <c r="H271" i="2"/>
  <c r="H272" i="2"/>
  <c r="H273" i="2"/>
  <c r="H276" i="2"/>
  <c r="H277" i="2"/>
  <c r="H278" i="2"/>
  <c r="H279" i="2"/>
  <c r="H280" i="2"/>
  <c r="H281" i="2"/>
  <c r="H282" i="2"/>
  <c r="H283" i="2"/>
  <c r="H285" i="2"/>
  <c r="H286" i="2"/>
  <c r="H247" i="2"/>
  <c r="H248" i="2"/>
  <c r="H249" i="2"/>
  <c r="H250" i="2"/>
  <c r="H251" i="2"/>
  <c r="H252" i="2"/>
  <c r="H253" i="2"/>
  <c r="H254" i="2"/>
  <c r="H255" i="2"/>
  <c r="H217" i="2"/>
  <c r="H223" i="2"/>
  <c r="H224" i="2"/>
  <c r="H227" i="2"/>
  <c r="H228" i="2"/>
  <c r="H229" i="2"/>
  <c r="H231" i="2"/>
  <c r="H232" i="2"/>
  <c r="H234" i="2"/>
  <c r="H235" i="2"/>
  <c r="H236" i="2"/>
  <c r="H237" i="2"/>
  <c r="H243" i="2"/>
  <c r="H244" i="2"/>
  <c r="F594" i="2"/>
  <c r="H38" i="2"/>
  <c r="H34" i="2" s="1"/>
  <c r="F34" i="2"/>
  <c r="G34" i="2"/>
  <c r="E34" i="2"/>
  <c r="F245" i="2"/>
  <c r="G245" i="2"/>
  <c r="F320" i="2"/>
  <c r="G320" i="2"/>
  <c r="H334" i="2"/>
  <c r="H326" i="2"/>
  <c r="H327" i="2"/>
  <c r="F526" i="2"/>
  <c r="G526" i="2"/>
  <c r="E526" i="2"/>
  <c r="H531" i="2"/>
  <c r="H315" i="2"/>
  <c r="F204" i="2"/>
  <c r="H171" i="2"/>
  <c r="H170" i="2" s="1"/>
  <c r="E170" i="2"/>
  <c r="H168" i="2"/>
  <c r="H167" i="2"/>
  <c r="H166" i="2"/>
  <c r="H165" i="2"/>
  <c r="H164" i="2"/>
  <c r="G163" i="2"/>
  <c r="F163" i="2"/>
  <c r="E163" i="2"/>
  <c r="F20" i="12"/>
  <c r="G20" i="12"/>
  <c r="H20" i="12"/>
  <c r="E20" i="12"/>
  <c r="H36" i="12"/>
  <c r="H37" i="12"/>
  <c r="H38" i="12"/>
  <c r="H39" i="12"/>
  <c r="H35" i="12"/>
  <c r="F34" i="12"/>
  <c r="G34" i="12"/>
  <c r="E34" i="12"/>
  <c r="F72" i="25"/>
  <c r="J31" i="26"/>
  <c r="H31" i="26"/>
  <c r="H28" i="26"/>
  <c r="F28" i="26"/>
  <c r="L28" i="26" s="1"/>
  <c r="H26" i="26"/>
  <c r="I20" i="26"/>
  <c r="E20" i="26"/>
  <c r="L20" i="26" s="1"/>
  <c r="K19" i="26"/>
  <c r="I19" i="26"/>
  <c r="L19" i="26" s="1"/>
  <c r="I18" i="26"/>
  <c r="L18" i="26" s="1"/>
  <c r="H15" i="26"/>
  <c r="L13" i="26"/>
  <c r="L14" i="26"/>
  <c r="L15" i="26"/>
  <c r="L16" i="26"/>
  <c r="L17" i="26"/>
  <c r="L21" i="26"/>
  <c r="L22" i="26"/>
  <c r="L23" i="26"/>
  <c r="L24" i="26"/>
  <c r="L25" i="26"/>
  <c r="L26" i="26"/>
  <c r="L27" i="26"/>
  <c r="L29" i="26"/>
  <c r="L30" i="26"/>
  <c r="L31" i="26"/>
  <c r="L12" i="26"/>
  <c r="D15" i="26"/>
  <c r="H134" i="1"/>
  <c r="H135" i="1"/>
  <c r="F132" i="1"/>
  <c r="G132" i="1"/>
  <c r="H111" i="1"/>
  <c r="H112" i="1"/>
  <c r="H113" i="1"/>
  <c r="H184" i="1"/>
  <c r="H183" i="1" s="1"/>
  <c r="G183" i="1"/>
  <c r="F183" i="1"/>
  <c r="E183" i="1"/>
  <c r="H123" i="1"/>
  <c r="H105" i="1"/>
  <c r="H104" i="1" s="1"/>
  <c r="G104" i="1"/>
  <c r="F104" i="1"/>
  <c r="E104" i="1"/>
  <c r="H68" i="1"/>
  <c r="H67" i="1" s="1"/>
  <c r="G67" i="1"/>
  <c r="F67" i="1"/>
  <c r="E67" i="1"/>
  <c r="H58" i="1"/>
  <c r="H59" i="1"/>
  <c r="H32" i="1"/>
  <c r="H31" i="1" s="1"/>
  <c r="G31" i="1"/>
  <c r="F31" i="1"/>
  <c r="E31" i="1"/>
  <c r="F14" i="11"/>
  <c r="G14" i="11"/>
  <c r="H14" i="11"/>
  <c r="E14" i="11"/>
  <c r="H19" i="11"/>
  <c r="G19" i="11"/>
  <c r="F19" i="11"/>
  <c r="E19" i="11"/>
  <c r="H20" i="11"/>
  <c r="F6" i="18"/>
  <c r="G6" i="18"/>
  <c r="H6" i="18"/>
  <c r="E6" i="18"/>
  <c r="F23" i="18"/>
  <c r="G23" i="18"/>
  <c r="H23" i="18"/>
  <c r="E23" i="18"/>
  <c r="H27" i="18"/>
  <c r="H26" i="18"/>
  <c r="G26" i="18"/>
  <c r="F26" i="18"/>
  <c r="E26" i="18"/>
  <c r="H30" i="18"/>
  <c r="H29" i="18" s="1"/>
  <c r="H28" i="18" s="1"/>
  <c r="G29" i="18"/>
  <c r="G28" i="18" s="1"/>
  <c r="F29" i="18"/>
  <c r="F28" i="18" s="1"/>
  <c r="E29" i="18"/>
  <c r="E28" i="18"/>
  <c r="F18" i="18"/>
  <c r="G18" i="18"/>
  <c r="E18" i="18"/>
  <c r="H19" i="18"/>
  <c r="H20" i="18"/>
  <c r="F12" i="18"/>
  <c r="G12" i="18"/>
  <c r="E12" i="18"/>
  <c r="H13" i="18"/>
  <c r="H12" i="18" s="1"/>
  <c r="H22" i="18"/>
  <c r="H21" i="18"/>
  <c r="E46" i="28"/>
  <c r="E45" i="28"/>
  <c r="H49" i="28"/>
  <c r="H48" i="28" s="1"/>
  <c r="H47" i="28" s="1"/>
  <c r="G48" i="28"/>
  <c r="F48" i="28"/>
  <c r="E48" i="28"/>
  <c r="G47" i="28"/>
  <c r="F47" i="28"/>
  <c r="E47" i="28"/>
  <c r="H22" i="28"/>
  <c r="H21" i="28" s="1"/>
  <c r="H20" i="28" s="1"/>
  <c r="E19" i="28"/>
  <c r="G21" i="28"/>
  <c r="G20" i="28" s="1"/>
  <c r="F21" i="28"/>
  <c r="F20" i="28" s="1"/>
  <c r="E21" i="28"/>
  <c r="E20" i="28" s="1"/>
  <c r="E43" i="22"/>
  <c r="E42" i="22"/>
  <c r="E41" i="22"/>
  <c r="E40" i="22"/>
  <c r="E39" i="22"/>
  <c r="E38" i="22"/>
  <c r="E37" i="22"/>
  <c r="H163" i="2" l="1"/>
  <c r="H34" i="12"/>
  <c r="H18" i="18"/>
  <c r="E19" i="22"/>
  <c r="E45" i="15"/>
  <c r="E37" i="15"/>
  <c r="E36" i="15"/>
  <c r="E35" i="15"/>
  <c r="E34" i="15"/>
  <c r="E33" i="15"/>
  <c r="E32" i="15"/>
  <c r="E16" i="15"/>
  <c r="B8" i="24"/>
  <c r="F6" i="12"/>
  <c r="G6" i="12"/>
  <c r="E6" i="12"/>
  <c r="E333" i="2"/>
  <c r="E332" i="2"/>
  <c r="E331" i="2"/>
  <c r="E329" i="2"/>
  <c r="E328" i="2"/>
  <c r="E322" i="2"/>
  <c r="E321" i="2"/>
  <c r="E453" i="2"/>
  <c r="E162" i="2"/>
  <c r="E160" i="2"/>
  <c r="E159" i="2"/>
  <c r="E158" i="2"/>
  <c r="E157" i="2"/>
  <c r="E156" i="2"/>
  <c r="E155" i="2"/>
  <c r="E199" i="2"/>
  <c r="E197" i="2"/>
  <c r="E67" i="2"/>
  <c r="E64" i="2"/>
  <c r="E24" i="2"/>
  <c r="E23" i="2"/>
  <c r="E22" i="2"/>
  <c r="E21" i="2"/>
  <c r="E20" i="2"/>
  <c r="E19" i="2"/>
  <c r="E18" i="2"/>
  <c r="E29" i="12"/>
  <c r="E33" i="12"/>
  <c r="E31" i="12"/>
  <c r="E30" i="12"/>
  <c r="E28" i="12"/>
  <c r="E27" i="12"/>
  <c r="E26" i="12"/>
  <c r="E45" i="5"/>
  <c r="E18" i="11"/>
  <c r="E66" i="1"/>
  <c r="E133" i="1"/>
  <c r="E132" i="1" s="1"/>
  <c r="K33" i="26"/>
  <c r="I33" i="26"/>
  <c r="H33" i="26"/>
  <c r="G33" i="26"/>
  <c r="F33" i="26"/>
  <c r="E33" i="26"/>
  <c r="D33" i="26"/>
  <c r="J12" i="26"/>
  <c r="J33" i="26" s="1"/>
  <c r="F58" i="25"/>
  <c r="H55" i="28"/>
  <c r="H54" i="28"/>
  <c r="G53" i="28"/>
  <c r="F53" i="28"/>
  <c r="E53" i="28"/>
  <c r="H52" i="28"/>
  <c r="H51" i="28" s="1"/>
  <c r="G51" i="28"/>
  <c r="F51" i="28"/>
  <c r="F50" i="28" s="1"/>
  <c r="E51" i="28"/>
  <c r="H46" i="28"/>
  <c r="E44" i="28"/>
  <c r="E43" i="28" s="1"/>
  <c r="G44" i="28"/>
  <c r="G43" i="28" s="1"/>
  <c r="F44" i="28"/>
  <c r="F43" i="28" s="1"/>
  <c r="H42" i="28"/>
  <c r="H41" i="28" s="1"/>
  <c r="H40" i="28" s="1"/>
  <c r="G41" i="28"/>
  <c r="G40" i="28" s="1"/>
  <c r="F41" i="28"/>
  <c r="F40" i="28" s="1"/>
  <c r="E41" i="28"/>
  <c r="E40" i="28" s="1"/>
  <c r="H39" i="28"/>
  <c r="H38" i="28" s="1"/>
  <c r="H37" i="28" s="1"/>
  <c r="G38" i="28"/>
  <c r="G37" i="28" s="1"/>
  <c r="F38" i="28"/>
  <c r="F37" i="28" s="1"/>
  <c r="E38" i="28"/>
  <c r="E37" i="28" s="1"/>
  <c r="H28" i="28"/>
  <c r="H27" i="28"/>
  <c r="G26" i="28"/>
  <c r="F26" i="28"/>
  <c r="E26" i="28"/>
  <c r="H25" i="28"/>
  <c r="H24" i="28" s="1"/>
  <c r="G24" i="28"/>
  <c r="F24" i="28"/>
  <c r="E24" i="28"/>
  <c r="E23" i="28" s="1"/>
  <c r="H19" i="28"/>
  <c r="H18" i="28" s="1"/>
  <c r="H17" i="28" s="1"/>
  <c r="G18" i="28"/>
  <c r="G17" i="28" s="1"/>
  <c r="F18" i="28"/>
  <c r="F17" i="28" s="1"/>
  <c r="H16" i="28"/>
  <c r="H15" i="28" s="1"/>
  <c r="H14" i="28" s="1"/>
  <c r="G15" i="28"/>
  <c r="G14" i="28" s="1"/>
  <c r="F15" i="28"/>
  <c r="F14" i="28" s="1"/>
  <c r="E15" i="28"/>
  <c r="E14" i="28" s="1"/>
  <c r="H13" i="28"/>
  <c r="H12" i="28" s="1"/>
  <c r="H11" i="28" s="1"/>
  <c r="E12" i="28"/>
  <c r="E11" i="28" s="1"/>
  <c r="G11" i="28"/>
  <c r="F11" i="28"/>
  <c r="B19" i="24"/>
  <c r="C14" i="24"/>
  <c r="H26" i="28" l="1"/>
  <c r="H23" i="28" s="1"/>
  <c r="H29" i="28" s="1"/>
  <c r="F56" i="28"/>
  <c r="G56" i="28"/>
  <c r="D36" i="26"/>
  <c r="H53" i="28"/>
  <c r="H50" i="28" s="1"/>
  <c r="H56" i="28" s="1"/>
  <c r="E18" i="28"/>
  <c r="E17" i="28" s="1"/>
  <c r="E29" i="28" s="1"/>
  <c r="E50" i="28"/>
  <c r="E56" i="28" s="1"/>
  <c r="G50" i="28"/>
  <c r="F23" i="28"/>
  <c r="F29" i="28" s="1"/>
  <c r="G23" i="28"/>
  <c r="G29" i="28" s="1"/>
  <c r="H45" i="28"/>
  <c r="H44" i="28" s="1"/>
  <c r="H43" i="28" s="1"/>
  <c r="H329" i="2"/>
  <c r="H38" i="22"/>
  <c r="H39" i="22"/>
  <c r="H40" i="22"/>
  <c r="H41" i="22"/>
  <c r="H42" i="22"/>
  <c r="H43" i="22"/>
  <c r="H104" i="23"/>
  <c r="G104" i="23"/>
  <c r="E38" i="15"/>
  <c r="E46" i="22"/>
  <c r="E22" i="22"/>
  <c r="E16" i="22"/>
  <c r="E34" i="22"/>
  <c r="E33" i="22"/>
  <c r="E51" i="22"/>
  <c r="E50" i="22"/>
  <c r="H50" i="22" s="1"/>
  <c r="E49" i="22"/>
  <c r="E48" i="22"/>
  <c r="E47" i="22"/>
  <c r="H19" i="2"/>
  <c r="H20" i="2"/>
  <c r="H21" i="2"/>
  <c r="H22" i="2"/>
  <c r="H23" i="2"/>
  <c r="H24" i="2"/>
  <c r="H18" i="2"/>
  <c r="F17" i="2"/>
  <c r="G17" i="2"/>
  <c r="E17" i="2"/>
  <c r="E418" i="2"/>
  <c r="H418" i="2" s="1"/>
  <c r="E417" i="2"/>
  <c r="H417" i="2" s="1"/>
  <c r="E416" i="2"/>
  <c r="E415" i="2"/>
  <c r="E414" i="2"/>
  <c r="E413" i="2"/>
  <c r="E345" i="2"/>
  <c r="E344" i="2"/>
  <c r="E47" i="2"/>
  <c r="E146" i="2"/>
  <c r="E145" i="2"/>
  <c r="H162" i="2"/>
  <c r="E161" i="2"/>
  <c r="H161" i="2" s="1"/>
  <c r="H158" i="2"/>
  <c r="H157" i="2"/>
  <c r="H156" i="2"/>
  <c r="H155" i="2"/>
  <c r="H13" i="12"/>
  <c r="E32" i="12"/>
  <c r="H32" i="12" s="1"/>
  <c r="H29" i="12"/>
  <c r="H28" i="12"/>
  <c r="H27" i="12"/>
  <c r="H9" i="12"/>
  <c r="H10" i="12"/>
  <c r="H11" i="12"/>
  <c r="H12" i="12"/>
  <c r="H14" i="12"/>
  <c r="H8" i="12"/>
  <c r="F7" i="12"/>
  <c r="G7" i="12"/>
  <c r="E7" i="12"/>
  <c r="G9" i="11"/>
  <c r="G8" i="11" s="1"/>
  <c r="F9" i="11"/>
  <c r="F8" i="11" s="1"/>
  <c r="E9" i="11"/>
  <c r="E8" i="11" s="1"/>
  <c r="E17" i="11"/>
  <c r="E13" i="11"/>
  <c r="H13" i="11" s="1"/>
  <c r="H12" i="11" s="1"/>
  <c r="H11" i="11" s="1"/>
  <c r="G12" i="11"/>
  <c r="G11" i="11" s="1"/>
  <c r="F12" i="11"/>
  <c r="F11" i="11" s="1"/>
  <c r="H167" i="1"/>
  <c r="H166" i="1" s="1"/>
  <c r="H165" i="1" s="1"/>
  <c r="F166" i="1"/>
  <c r="F165" i="1" s="1"/>
  <c r="G166" i="1"/>
  <c r="G165" i="1" s="1"/>
  <c r="E166" i="1"/>
  <c r="E165" i="1" s="1"/>
  <c r="H10" i="1"/>
  <c r="H9" i="1" s="1"/>
  <c r="F9" i="1"/>
  <c r="G9" i="1"/>
  <c r="E9" i="1"/>
  <c r="E157" i="1"/>
  <c r="H66" i="1"/>
  <c r="H65" i="1" s="1"/>
  <c r="E57" i="1"/>
  <c r="F51" i="2"/>
  <c r="G51" i="2"/>
  <c r="E51" i="2"/>
  <c r="H53" i="2"/>
  <c r="H52" i="2"/>
  <c r="H37" i="22"/>
  <c r="F17" i="11"/>
  <c r="E441" i="2"/>
  <c r="H441" i="2" s="1"/>
  <c r="E439" i="2"/>
  <c r="H439" i="2" s="1"/>
  <c r="H322" i="2"/>
  <c r="H321" i="2"/>
  <c r="E59" i="2"/>
  <c r="E49" i="2"/>
  <c r="E19" i="5"/>
  <c r="E23" i="11"/>
  <c r="H23" i="11" s="1"/>
  <c r="H22" i="11" s="1"/>
  <c r="H21" i="11" s="1"/>
  <c r="E161" i="1"/>
  <c r="E59" i="12"/>
  <c r="H59" i="12" s="1"/>
  <c r="E50" i="12"/>
  <c r="H50" i="12" s="1"/>
  <c r="G32" i="23"/>
  <c r="H33" i="18"/>
  <c r="H32" i="18" s="1"/>
  <c r="H25" i="18"/>
  <c r="H24" i="18" s="1"/>
  <c r="H16" i="18"/>
  <c r="H15" i="18" s="1"/>
  <c r="H14" i="18" s="1"/>
  <c r="H8" i="18"/>
  <c r="H7" i="18" s="1"/>
  <c r="G7" i="18"/>
  <c r="F7" i="18"/>
  <c r="E7" i="18"/>
  <c r="F9" i="18"/>
  <c r="G9" i="18"/>
  <c r="H9" i="18"/>
  <c r="F15" i="18"/>
  <c r="F14" i="18" s="1"/>
  <c r="G15" i="18"/>
  <c r="G14" i="18" s="1"/>
  <c r="F17" i="18"/>
  <c r="G17" i="18"/>
  <c r="H17" i="18"/>
  <c r="F24" i="18"/>
  <c r="G24" i="18"/>
  <c r="F32" i="18"/>
  <c r="G32" i="18"/>
  <c r="F34" i="18"/>
  <c r="G34" i="18"/>
  <c r="H34" i="18"/>
  <c r="H24" i="1"/>
  <c r="H23" i="1" s="1"/>
  <c r="F23" i="1"/>
  <c r="G23" i="1"/>
  <c r="E23" i="1"/>
  <c r="F437" i="2"/>
  <c r="G437" i="2"/>
  <c r="H52" i="23"/>
  <c r="G52" i="23"/>
  <c r="E51" i="5"/>
  <c r="E16" i="5"/>
  <c r="F154" i="2"/>
  <c r="G154" i="2"/>
  <c r="F55" i="2"/>
  <c r="G55" i="2"/>
  <c r="H56" i="2"/>
  <c r="E446" i="2"/>
  <c r="E41" i="2"/>
  <c r="E86" i="2"/>
  <c r="E85" i="2"/>
  <c r="E84" i="2"/>
  <c r="E109" i="2"/>
  <c r="E118" i="2"/>
  <c r="E143" i="2"/>
  <c r="E135" i="2"/>
  <c r="E196" i="2"/>
  <c r="E242" i="2"/>
  <c r="H242" i="2" s="1"/>
  <c r="E239" i="2"/>
  <c r="H239" i="2" s="1"/>
  <c r="E238" i="2"/>
  <c r="H238" i="2" s="1"/>
  <c r="E233" i="2"/>
  <c r="H233" i="2" s="1"/>
  <c r="E230" i="2"/>
  <c r="H230" i="2" s="1"/>
  <c r="E226" i="2"/>
  <c r="H226" i="2" s="1"/>
  <c r="E225" i="2"/>
  <c r="H225" i="2" s="1"/>
  <c r="E222" i="2"/>
  <c r="H222" i="2" s="1"/>
  <c r="E221" i="2"/>
  <c r="H221" i="2" s="1"/>
  <c r="E219" i="2"/>
  <c r="H219" i="2" s="1"/>
  <c r="E218" i="2"/>
  <c r="H218" i="2" s="1"/>
  <c r="E274" i="2"/>
  <c r="H274" i="2" s="1"/>
  <c r="E316" i="2"/>
  <c r="E310" i="2"/>
  <c r="H332" i="2"/>
  <c r="H328" i="2"/>
  <c r="E405" i="2"/>
  <c r="E395" i="2"/>
  <c r="E411" i="2"/>
  <c r="E428" i="2"/>
  <c r="E419" i="2" s="1"/>
  <c r="E447" i="2"/>
  <c r="E463" i="2"/>
  <c r="E472" i="2"/>
  <c r="E481" i="2"/>
  <c r="E491" i="2"/>
  <c r="E509" i="2"/>
  <c r="E518" i="2"/>
  <c r="E517" i="2"/>
  <c r="E515" i="2"/>
  <c r="E542" i="2"/>
  <c r="E546" i="2"/>
  <c r="E554" i="2"/>
  <c r="E553" i="2" s="1"/>
  <c r="H44" i="12"/>
  <c r="H42" i="12"/>
  <c r="F41" i="12"/>
  <c r="F40" i="12" s="1"/>
  <c r="G41" i="12"/>
  <c r="G40" i="12" s="1"/>
  <c r="E41" i="12"/>
  <c r="G25" i="12"/>
  <c r="E19" i="12"/>
  <c r="H19" i="12" s="1"/>
  <c r="E18" i="12"/>
  <c r="H18" i="12" s="1"/>
  <c r="E17" i="12"/>
  <c r="H17" i="12" s="1"/>
  <c r="E52" i="1"/>
  <c r="E95" i="1"/>
  <c r="E91" i="1" s="1"/>
  <c r="E103" i="1"/>
  <c r="E129" i="1"/>
  <c r="H129" i="1" s="1"/>
  <c r="E128" i="1"/>
  <c r="H128" i="1" s="1"/>
  <c r="E164" i="1"/>
  <c r="H26" i="1"/>
  <c r="F25" i="1"/>
  <c r="G25" i="1"/>
  <c r="H155" i="1"/>
  <c r="H154" i="1" s="1"/>
  <c r="G154" i="1"/>
  <c r="F154" i="1"/>
  <c r="E154" i="1"/>
  <c r="H46" i="11"/>
  <c r="H45" i="11" s="1"/>
  <c r="H44" i="11"/>
  <c r="H43" i="11" s="1"/>
  <c r="H42" i="11"/>
  <c r="H41" i="11" s="1"/>
  <c r="F196" i="1"/>
  <c r="G196" i="1"/>
  <c r="F21" i="1"/>
  <c r="G21" i="1"/>
  <c r="E21" i="1"/>
  <c r="H49" i="22"/>
  <c r="H51" i="22"/>
  <c r="F36" i="22"/>
  <c r="F35" i="22" s="1"/>
  <c r="G36" i="22"/>
  <c r="G35" i="22" s="1"/>
  <c r="E24" i="15"/>
  <c r="E23" i="15"/>
  <c r="H63" i="12"/>
  <c r="H62" i="12" s="1"/>
  <c r="G62" i="12"/>
  <c r="F62" i="12"/>
  <c r="E62" i="12"/>
  <c r="H30" i="12"/>
  <c r="H43" i="12"/>
  <c r="H65" i="12"/>
  <c r="H64" i="12" s="1"/>
  <c r="H89" i="12"/>
  <c r="H88" i="12" s="1"/>
  <c r="H87" i="12" s="1"/>
  <c r="H86" i="12"/>
  <c r="H85" i="12" s="1"/>
  <c r="H81" i="12"/>
  <c r="H80" i="12" s="1"/>
  <c r="F80" i="12"/>
  <c r="G80" i="12"/>
  <c r="F82" i="12"/>
  <c r="G82" i="12"/>
  <c r="H82" i="12"/>
  <c r="F85" i="12"/>
  <c r="G85" i="12"/>
  <c r="F88" i="12"/>
  <c r="F87" i="12" s="1"/>
  <c r="G88" i="12"/>
  <c r="G87" i="12" s="1"/>
  <c r="F16" i="12"/>
  <c r="F15" i="12" s="1"/>
  <c r="G16" i="12"/>
  <c r="G15" i="12" s="1"/>
  <c r="F21" i="12"/>
  <c r="G21" i="12"/>
  <c r="H21" i="12"/>
  <c r="F46" i="12"/>
  <c r="G46" i="12"/>
  <c r="F64" i="12"/>
  <c r="G64" i="12"/>
  <c r="F169" i="1"/>
  <c r="G412" i="2"/>
  <c r="H159" i="2"/>
  <c r="F553" i="2"/>
  <c r="G553" i="2"/>
  <c r="H555" i="2"/>
  <c r="H477" i="2"/>
  <c r="H476" i="2" s="1"/>
  <c r="G476" i="2"/>
  <c r="F476" i="2"/>
  <c r="E476" i="2"/>
  <c r="F419" i="2"/>
  <c r="G419" i="2"/>
  <c r="H420" i="2"/>
  <c r="H118" i="23"/>
  <c r="H26" i="23"/>
  <c r="G26" i="23"/>
  <c r="F115" i="2"/>
  <c r="G115" i="2"/>
  <c r="H116" i="2"/>
  <c r="H117" i="2"/>
  <c r="H19" i="22"/>
  <c r="H18" i="22" s="1"/>
  <c r="H17" i="22" s="1"/>
  <c r="G18" i="22"/>
  <c r="G17" i="22" s="1"/>
  <c r="F18" i="22"/>
  <c r="F17" i="22" s="1"/>
  <c r="E18" i="22"/>
  <c r="E17" i="22" s="1"/>
  <c r="G17" i="11"/>
  <c r="H28" i="11"/>
  <c r="H27" i="11" s="1"/>
  <c r="G27" i="11"/>
  <c r="F27" i="11"/>
  <c r="E27" i="11"/>
  <c r="F45" i="11"/>
  <c r="G45" i="11"/>
  <c r="F47" i="11"/>
  <c r="G47" i="11"/>
  <c r="H47" i="11"/>
  <c r="F41" i="11"/>
  <c r="G41" i="11"/>
  <c r="F43" i="11"/>
  <c r="G43" i="11"/>
  <c r="F15" i="11"/>
  <c r="G15" i="11"/>
  <c r="H15" i="11"/>
  <c r="F22" i="11"/>
  <c r="F21" i="11" s="1"/>
  <c r="G22" i="11"/>
  <c r="G21" i="11" s="1"/>
  <c r="F25" i="11"/>
  <c r="G25" i="11"/>
  <c r="H25" i="11"/>
  <c r="F29" i="11"/>
  <c r="G29" i="11"/>
  <c r="H29" i="11"/>
  <c r="E63" i="1"/>
  <c r="G65" i="1"/>
  <c r="H191" i="1"/>
  <c r="H190" i="1" s="1"/>
  <c r="G190" i="1"/>
  <c r="F190" i="1"/>
  <c r="E190" i="1"/>
  <c r="H198" i="1"/>
  <c r="E196" i="1"/>
  <c r="H182" i="1"/>
  <c r="H181" i="1"/>
  <c r="G180" i="1"/>
  <c r="F180" i="1"/>
  <c r="F177" i="1"/>
  <c r="G177" i="1"/>
  <c r="E177" i="1"/>
  <c r="H178" i="1"/>
  <c r="G169" i="1"/>
  <c r="E169" i="1"/>
  <c r="E172" i="1"/>
  <c r="G172" i="1"/>
  <c r="F172" i="1"/>
  <c r="H114" i="1"/>
  <c r="G127" i="1"/>
  <c r="F127" i="1"/>
  <c r="F145" i="1"/>
  <c r="G145" i="1"/>
  <c r="E145" i="1"/>
  <c r="H146" i="1"/>
  <c r="H139" i="1"/>
  <c r="F137" i="1"/>
  <c r="G137" i="1"/>
  <c r="E137" i="1"/>
  <c r="F91" i="1"/>
  <c r="G91" i="1"/>
  <c r="H97" i="1"/>
  <c r="H96" i="1"/>
  <c r="H89" i="1"/>
  <c r="H54" i="1"/>
  <c r="F53" i="1"/>
  <c r="G53" i="1"/>
  <c r="E53" i="1"/>
  <c r="H49" i="1"/>
  <c r="F47" i="1"/>
  <c r="G47" i="1"/>
  <c r="E47" i="1"/>
  <c r="H46" i="1"/>
  <c r="F44" i="1"/>
  <c r="G44" i="1"/>
  <c r="E44" i="1"/>
  <c r="F38" i="1"/>
  <c r="G38" i="1"/>
  <c r="E38" i="1"/>
  <c r="H43" i="1"/>
  <c r="F34" i="1"/>
  <c r="G34" i="1"/>
  <c r="E34" i="1"/>
  <c r="H39" i="1"/>
  <c r="H36" i="1"/>
  <c r="H37" i="1"/>
  <c r="H35" i="1"/>
  <c r="H22" i="1"/>
  <c r="H21" i="1" s="1"/>
  <c r="H20" i="1"/>
  <c r="H19" i="1" s="1"/>
  <c r="G19" i="1"/>
  <c r="F19" i="1"/>
  <c r="E19" i="1"/>
  <c r="H6" i="12" l="1"/>
  <c r="H331" i="2"/>
  <c r="H333" i="2"/>
  <c r="H17" i="2"/>
  <c r="H51" i="2"/>
  <c r="H26" i="12"/>
  <c r="H7" i="12"/>
  <c r="H46" i="12"/>
  <c r="H45" i="12" s="1"/>
  <c r="E25" i="12"/>
  <c r="H41" i="12"/>
  <c r="H40" i="12" s="1"/>
  <c r="E12" i="11"/>
  <c r="E11" i="11" s="1"/>
  <c r="H133" i="1"/>
  <c r="H132" i="1" s="1"/>
  <c r="E127" i="1"/>
  <c r="E437" i="2"/>
  <c r="E36" i="22"/>
  <c r="E154" i="2"/>
  <c r="H33" i="12"/>
  <c r="F25" i="12"/>
  <c r="H31" i="18"/>
  <c r="G31" i="18"/>
  <c r="G37" i="18" s="1"/>
  <c r="F31" i="18"/>
  <c r="H31" i="12"/>
  <c r="G45" i="12"/>
  <c r="F45" i="12"/>
  <c r="H16" i="12"/>
  <c r="H15" i="12" s="1"/>
  <c r="H160" i="2"/>
  <c r="H154" i="2" s="1"/>
  <c r="F412" i="2"/>
  <c r="H416" i="2"/>
  <c r="F65" i="1"/>
  <c r="H18" i="11"/>
  <c r="H17" i="11" s="1"/>
  <c r="H171" i="1"/>
  <c r="H36" i="22"/>
  <c r="H35" i="22" s="1"/>
  <c r="H24" i="11"/>
  <c r="F24" i="11"/>
  <c r="G24" i="11"/>
  <c r="G79" i="12"/>
  <c r="G90" i="12" s="1"/>
  <c r="H79" i="12"/>
  <c r="H90" i="12" s="1"/>
  <c r="F79" i="12"/>
  <c r="F90" i="12" s="1"/>
  <c r="H40" i="11"/>
  <c r="H50" i="11" s="1"/>
  <c r="G40" i="11"/>
  <c r="G50" i="11" s="1"/>
  <c r="F40" i="11"/>
  <c r="F50" i="11" s="1"/>
  <c r="E65" i="1"/>
  <c r="E62" i="1" s="1"/>
  <c r="H127" i="1"/>
  <c r="E180" i="1"/>
  <c r="H180" i="1"/>
  <c r="H173" i="1"/>
  <c r="H172" i="1" s="1"/>
  <c r="H34" i="1"/>
  <c r="F31" i="11" l="1"/>
  <c r="H37" i="18"/>
  <c r="F37" i="18"/>
  <c r="F40" i="18" s="1"/>
  <c r="G66" i="12"/>
  <c r="F66" i="12"/>
  <c r="G31" i="11"/>
  <c r="H25" i="12"/>
  <c r="H66" i="12" s="1"/>
  <c r="E412" i="2" l="1"/>
  <c r="E349" i="2"/>
  <c r="E346" i="2" s="1"/>
  <c r="E211" i="2"/>
  <c r="E115" i="2"/>
  <c r="F346" i="2"/>
  <c r="G346" i="2"/>
  <c r="H357" i="2"/>
  <c r="H121" i="2"/>
  <c r="F535" i="2"/>
  <c r="G535" i="2"/>
  <c r="E535" i="2"/>
  <c r="H536" i="2"/>
  <c r="E220" i="2"/>
  <c r="H220" i="2" s="1"/>
  <c r="E240" i="2"/>
  <c r="H240" i="2" s="1"/>
  <c r="E362" i="2"/>
  <c r="E62" i="2"/>
  <c r="E55" i="2" s="1"/>
  <c r="E42" i="2"/>
  <c r="E256" i="2"/>
  <c r="H256" i="2" s="1"/>
  <c r="E298" i="2"/>
  <c r="E317" i="2"/>
  <c r="E314" i="2"/>
  <c r="E313" i="2"/>
  <c r="E312" i="2"/>
  <c r="E24" i="5"/>
  <c r="E17" i="5"/>
  <c r="H440" i="2"/>
  <c r="H438" i="2"/>
  <c r="F318" i="2"/>
  <c r="G318" i="2"/>
  <c r="E318" i="2"/>
  <c r="H131" i="1"/>
  <c r="H437" i="2" l="1"/>
  <c r="H130" i="1"/>
  <c r="G130" i="1"/>
  <c r="F130" i="1"/>
  <c r="E130" i="1"/>
  <c r="H311" i="2"/>
  <c r="E13" i="15"/>
  <c r="H24" i="5"/>
  <c r="H78" i="5"/>
  <c r="H77" i="5" s="1"/>
  <c r="H72" i="5"/>
  <c r="H71" i="5"/>
  <c r="H69" i="5"/>
  <c r="H64" i="5"/>
  <c r="H63" i="5" s="1"/>
  <c r="H60" i="5"/>
  <c r="H59" i="5" s="1"/>
  <c r="H52" i="5"/>
  <c r="H53" i="5"/>
  <c r="H47" i="5"/>
  <c r="H46" i="5" s="1"/>
  <c r="H45" i="5"/>
  <c r="H44" i="5" s="1"/>
  <c r="H43" i="5"/>
  <c r="H42" i="5" s="1"/>
  <c r="H38" i="5"/>
  <c r="H37" i="5"/>
  <c r="H35" i="5"/>
  <c r="H34" i="5"/>
  <c r="H31" i="5"/>
  <c r="H30" i="5" s="1"/>
  <c r="H29" i="5" s="1"/>
  <c r="H28" i="5"/>
  <c r="H27" i="5" s="1"/>
  <c r="H26" i="5"/>
  <c r="H25" i="5" s="1"/>
  <c r="H23" i="5"/>
  <c r="H20" i="5"/>
  <c r="H19" i="5"/>
  <c r="H17" i="5"/>
  <c r="H13" i="5"/>
  <c r="H12" i="5" s="1"/>
  <c r="H10" i="5"/>
  <c r="H9" i="5" s="1"/>
  <c r="H8" i="5"/>
  <c r="H7" i="5" s="1"/>
  <c r="G70" i="5"/>
  <c r="F70" i="5"/>
  <c r="F75" i="5"/>
  <c r="G75" i="5"/>
  <c r="F77" i="5"/>
  <c r="G77" i="5"/>
  <c r="G79" i="5"/>
  <c r="F79" i="5"/>
  <c r="F33" i="5"/>
  <c r="G33" i="5"/>
  <c r="F36" i="5"/>
  <c r="G36" i="5"/>
  <c r="F42" i="5"/>
  <c r="G42" i="5"/>
  <c r="F44" i="5"/>
  <c r="G44" i="5"/>
  <c r="F46" i="5"/>
  <c r="G46" i="5"/>
  <c r="F49" i="5"/>
  <c r="G49" i="5"/>
  <c r="F59" i="5"/>
  <c r="G59" i="5"/>
  <c r="F61" i="5"/>
  <c r="G61" i="5"/>
  <c r="F67" i="5"/>
  <c r="G67" i="5"/>
  <c r="F7" i="5"/>
  <c r="G7" i="5"/>
  <c r="F9" i="5"/>
  <c r="G9" i="5"/>
  <c r="F15" i="5"/>
  <c r="G15" i="5"/>
  <c r="F18" i="5"/>
  <c r="G18" i="5"/>
  <c r="F22" i="5"/>
  <c r="F25" i="5"/>
  <c r="G25" i="5"/>
  <c r="F27" i="5"/>
  <c r="G27" i="5"/>
  <c r="F30" i="5"/>
  <c r="F29" i="5" s="1"/>
  <c r="G30" i="5"/>
  <c r="G29" i="5" s="1"/>
  <c r="H22" i="5" l="1"/>
  <c r="H21" i="5" s="1"/>
  <c r="G39" i="5"/>
  <c r="H39" i="5"/>
  <c r="F39" i="5"/>
  <c r="H33" i="5"/>
  <c r="F32" i="5"/>
  <c r="G6" i="5"/>
  <c r="F74" i="5"/>
  <c r="H36" i="5"/>
  <c r="H32" i="5" s="1"/>
  <c r="H18" i="5"/>
  <c r="G22" i="5"/>
  <c r="G21" i="5" s="1"/>
  <c r="H6" i="5"/>
  <c r="F21" i="5"/>
  <c r="F11" i="5"/>
  <c r="G11" i="5"/>
  <c r="F6" i="5"/>
  <c r="G32" i="5"/>
  <c r="F58" i="5"/>
  <c r="G58" i="5"/>
  <c r="G74" i="5"/>
  <c r="G66" i="5"/>
  <c r="F66" i="5"/>
  <c r="F81" i="5" l="1"/>
  <c r="G81" i="5"/>
  <c r="H317" i="2" l="1"/>
  <c r="H316" i="2"/>
  <c r="H313" i="2"/>
  <c r="H312" i="2"/>
  <c r="F215" i="2"/>
  <c r="H314" i="2"/>
  <c r="H310" i="2"/>
  <c r="E309" i="2"/>
  <c r="F336" i="2"/>
  <c r="G336" i="2"/>
  <c r="H414" i="2"/>
  <c r="H446" i="2"/>
  <c r="G215" i="2" l="1"/>
  <c r="H309" i="2"/>
  <c r="F136" i="1"/>
  <c r="G136" i="1"/>
  <c r="H138" i="1"/>
  <c r="E136" i="1"/>
  <c r="G163" i="1"/>
  <c r="G162" i="1" s="1"/>
  <c r="F163" i="1"/>
  <c r="E163" i="1"/>
  <c r="E162" i="1" s="1"/>
  <c r="E336" i="2"/>
  <c r="H338" i="2"/>
  <c r="F360" i="2"/>
  <c r="G360" i="2"/>
  <c r="H362" i="2"/>
  <c r="H361" i="2"/>
  <c r="H137" i="1" l="1"/>
  <c r="H136" i="1" s="1"/>
  <c r="F162" i="1"/>
  <c r="H164" i="1"/>
  <c r="H47" i="22"/>
  <c r="E394" i="2"/>
  <c r="F591" i="2"/>
  <c r="G591" i="2"/>
  <c r="E591" i="2"/>
  <c r="H592" i="2"/>
  <c r="H541" i="2"/>
  <c r="F540" i="2"/>
  <c r="G540" i="2"/>
  <c r="H457" i="2"/>
  <c r="H456" i="2" s="1"/>
  <c r="G456" i="2"/>
  <c r="F456" i="2"/>
  <c r="E456" i="2"/>
  <c r="F444" i="2"/>
  <c r="G444" i="2"/>
  <c r="E444" i="2"/>
  <c r="H445" i="2"/>
  <c r="H415" i="2"/>
  <c r="H413" i="2"/>
  <c r="H145" i="2"/>
  <c r="H146" i="2"/>
  <c r="H412" i="2" l="1"/>
  <c r="H163" i="1"/>
  <c r="H162" i="1" s="1"/>
  <c r="G32" i="22" l="1"/>
  <c r="G31" i="22" s="1"/>
  <c r="H34" i="22"/>
  <c r="F32" i="22"/>
  <c r="F31" i="22" s="1"/>
  <c r="E32" i="22"/>
  <c r="E31" i="22" s="1"/>
  <c r="H151" i="1"/>
  <c r="H150" i="1" s="1"/>
  <c r="F150" i="1"/>
  <c r="G150" i="1"/>
  <c r="E150" i="1"/>
  <c r="H157" i="1"/>
  <c r="H156" i="1" s="1"/>
  <c r="G156" i="1"/>
  <c r="F156" i="1"/>
  <c r="E156" i="1"/>
  <c r="F152" i="1"/>
  <c r="G152" i="1"/>
  <c r="E152" i="1"/>
  <c r="F199" i="1"/>
  <c r="G199" i="1"/>
  <c r="E199" i="1"/>
  <c r="H57" i="1"/>
  <c r="F56" i="1"/>
  <c r="G56" i="1"/>
  <c r="E56" i="1"/>
  <c r="H48" i="22"/>
  <c r="H46" i="22"/>
  <c r="H33" i="22"/>
  <c r="F45" i="22"/>
  <c r="F44" i="22" s="1"/>
  <c r="G45" i="22"/>
  <c r="G44" i="22" s="1"/>
  <c r="H22" i="22"/>
  <c r="H21" i="22" s="1"/>
  <c r="H20" i="22" s="1"/>
  <c r="H16" i="22"/>
  <c r="H15" i="22" s="1"/>
  <c r="H14" i="22" s="1"/>
  <c r="F15" i="22"/>
  <c r="F14" i="22" s="1"/>
  <c r="G15" i="22"/>
  <c r="G14" i="22" s="1"/>
  <c r="F21" i="22"/>
  <c r="F20" i="22" s="1"/>
  <c r="G21" i="22"/>
  <c r="G20" i="22" s="1"/>
  <c r="G23" i="22" s="1"/>
  <c r="E45" i="22"/>
  <c r="E44" i="22" s="1"/>
  <c r="E21" i="22"/>
  <c r="E20" i="22" s="1"/>
  <c r="E15" i="22"/>
  <c r="E14" i="22" s="1"/>
  <c r="E12" i="22"/>
  <c r="E11" i="22" s="1"/>
  <c r="F23" i="22" l="1"/>
  <c r="G52" i="22"/>
  <c r="F52" i="22"/>
  <c r="H23" i="22"/>
  <c r="E23" i="22"/>
  <c r="H32" i="22"/>
  <c r="H31" i="22" s="1"/>
  <c r="H45" i="22"/>
  <c r="H44" i="22" s="1"/>
  <c r="H52" i="22" l="1"/>
  <c r="H8" i="1"/>
  <c r="H7" i="1" s="1"/>
  <c r="H6" i="1" s="1"/>
  <c r="H13" i="1"/>
  <c r="H12" i="1" s="1"/>
  <c r="H11" i="1" s="1"/>
  <c r="H17" i="1"/>
  <c r="H16" i="1"/>
  <c r="H41" i="1"/>
  <c r="H42" i="1"/>
  <c r="H40" i="1"/>
  <c r="H30" i="1"/>
  <c r="H29" i="1" s="1"/>
  <c r="H45" i="1"/>
  <c r="H44" i="1" s="1"/>
  <c r="H48" i="1"/>
  <c r="H47" i="1" s="1"/>
  <c r="H55" i="1"/>
  <c r="H53" i="1" s="1"/>
  <c r="H74" i="1"/>
  <c r="H73" i="1" s="1"/>
  <c r="H71" i="1"/>
  <c r="H70" i="1" s="1"/>
  <c r="H69" i="1" s="1"/>
  <c r="H64" i="1"/>
  <c r="H63" i="1" s="1"/>
  <c r="H62" i="1" s="1"/>
  <c r="H61" i="1"/>
  <c r="H60" i="1"/>
  <c r="H77" i="1"/>
  <c r="H78" i="1"/>
  <c r="H79" i="1"/>
  <c r="H80" i="1"/>
  <c r="H81" i="1"/>
  <c r="H76" i="1"/>
  <c r="H84" i="1"/>
  <c r="H85" i="1"/>
  <c r="H86" i="1"/>
  <c r="H87" i="1"/>
  <c r="H88" i="1"/>
  <c r="H90" i="1"/>
  <c r="H83" i="1"/>
  <c r="H93" i="1"/>
  <c r="H94" i="1"/>
  <c r="H95" i="1"/>
  <c r="H92" i="1"/>
  <c r="H103" i="1"/>
  <c r="H102" i="1" s="1"/>
  <c r="H100" i="1"/>
  <c r="H99" i="1"/>
  <c r="H107" i="1"/>
  <c r="H106" i="1" s="1"/>
  <c r="H110" i="1"/>
  <c r="H118" i="1"/>
  <c r="H116" i="1" s="1"/>
  <c r="H122" i="1"/>
  <c r="H124" i="1"/>
  <c r="H126" i="1"/>
  <c r="H125" i="1" s="1"/>
  <c r="H142" i="1"/>
  <c r="H141" i="1" s="1"/>
  <c r="H144" i="1"/>
  <c r="H143" i="1" s="1"/>
  <c r="H147" i="1"/>
  <c r="H145" i="1" s="1"/>
  <c r="H149" i="1"/>
  <c r="H148" i="1" s="1"/>
  <c r="H153" i="1"/>
  <c r="H152" i="1" s="1"/>
  <c r="H159" i="1"/>
  <c r="H158" i="1" s="1"/>
  <c r="H161" i="1"/>
  <c r="H160" i="1" s="1"/>
  <c r="H170" i="1"/>
  <c r="H169" i="1" s="1"/>
  <c r="H200" i="1"/>
  <c r="H199" i="1" s="1"/>
  <c r="H197" i="1"/>
  <c r="H196" i="1" s="1"/>
  <c r="H194" i="1"/>
  <c r="H189" i="1"/>
  <c r="H188" i="1" s="1"/>
  <c r="H186" i="1"/>
  <c r="H185" i="1" s="1"/>
  <c r="H179" i="1"/>
  <c r="H177" i="1" s="1"/>
  <c r="H175" i="1"/>
  <c r="H174" i="1" s="1"/>
  <c r="F7" i="1"/>
  <c r="F6" i="1" s="1"/>
  <c r="G7" i="1"/>
  <c r="G6" i="1" s="1"/>
  <c r="F12" i="1"/>
  <c r="F11" i="1" s="1"/>
  <c r="G12" i="1"/>
  <c r="G11" i="1" s="1"/>
  <c r="F15" i="1"/>
  <c r="F14" i="1" s="1"/>
  <c r="G15" i="1"/>
  <c r="G14" i="1" s="1"/>
  <c r="F29" i="1"/>
  <c r="F18" i="1" s="1"/>
  <c r="G29" i="1"/>
  <c r="G18" i="1" s="1"/>
  <c r="F51" i="1"/>
  <c r="G51" i="1"/>
  <c r="F63" i="1"/>
  <c r="F62" i="1" s="1"/>
  <c r="G63" i="1"/>
  <c r="G62" i="1" s="1"/>
  <c r="F70" i="1"/>
  <c r="F69" i="1" s="1"/>
  <c r="G70" i="1"/>
  <c r="G69" i="1" s="1"/>
  <c r="F73" i="1"/>
  <c r="G73" i="1"/>
  <c r="F75" i="1"/>
  <c r="G75" i="1"/>
  <c r="F82" i="1"/>
  <c r="G82" i="1"/>
  <c r="F98" i="1"/>
  <c r="G98" i="1"/>
  <c r="F102" i="1"/>
  <c r="G102" i="1"/>
  <c r="F106" i="1"/>
  <c r="G106" i="1"/>
  <c r="F109" i="1"/>
  <c r="G109" i="1"/>
  <c r="F119" i="1"/>
  <c r="G119" i="1"/>
  <c r="F125" i="1"/>
  <c r="G125" i="1"/>
  <c r="F141" i="1"/>
  <c r="G141" i="1"/>
  <c r="F143" i="1"/>
  <c r="G143" i="1"/>
  <c r="F148" i="1"/>
  <c r="G148" i="1"/>
  <c r="F158" i="1"/>
  <c r="G158" i="1"/>
  <c r="F160" i="1"/>
  <c r="G160" i="1"/>
  <c r="F174" i="1"/>
  <c r="G174" i="1"/>
  <c r="G168" i="1" s="1"/>
  <c r="F185" i="1"/>
  <c r="F176" i="1" s="1"/>
  <c r="G185" i="1"/>
  <c r="G176" i="1" s="1"/>
  <c r="F188" i="1"/>
  <c r="G188" i="1"/>
  <c r="F192" i="1"/>
  <c r="G192" i="1"/>
  <c r="F195" i="1"/>
  <c r="G195" i="1"/>
  <c r="H305" i="2"/>
  <c r="H359" i="2"/>
  <c r="H358" i="2" s="1"/>
  <c r="F26" i="2"/>
  <c r="G26" i="2"/>
  <c r="E26" i="2"/>
  <c r="F454" i="2"/>
  <c r="G454" i="2"/>
  <c r="E454" i="2"/>
  <c r="H455" i="2"/>
  <c r="H558" i="2"/>
  <c r="H559" i="2"/>
  <c r="H560" i="2"/>
  <c r="H561" i="2"/>
  <c r="H557" i="2"/>
  <c r="H554" i="2"/>
  <c r="H553" i="2" s="1"/>
  <c r="H548" i="2"/>
  <c r="H550" i="2"/>
  <c r="H552" i="2"/>
  <c r="H542" i="2"/>
  <c r="H567" i="2"/>
  <c r="H571" i="2"/>
  <c r="H572" i="2"/>
  <c r="H573" i="2"/>
  <c r="H574" i="2"/>
  <c r="H575" i="2"/>
  <c r="H576" i="2"/>
  <c r="H577" i="2"/>
  <c r="H578" i="2"/>
  <c r="H579" i="2"/>
  <c r="H581" i="2"/>
  <c r="H582" i="2"/>
  <c r="H583" i="2"/>
  <c r="H584" i="2"/>
  <c r="H585" i="2"/>
  <c r="H586" i="2"/>
  <c r="H587" i="2"/>
  <c r="H588" i="2"/>
  <c r="H589" i="2"/>
  <c r="H590" i="2"/>
  <c r="H570" i="2"/>
  <c r="H594" i="2"/>
  <c r="H593" i="2"/>
  <c r="H597" i="2"/>
  <c r="H596" i="2"/>
  <c r="H538" i="2"/>
  <c r="H537" i="2"/>
  <c r="F520" i="2"/>
  <c r="G520" i="2"/>
  <c r="E520" i="2"/>
  <c r="H534" i="2"/>
  <c r="H533" i="2"/>
  <c r="H528" i="2"/>
  <c r="H529" i="2"/>
  <c r="H530" i="2"/>
  <c r="H527" i="2"/>
  <c r="H524" i="2"/>
  <c r="H525" i="2"/>
  <c r="H523" i="2"/>
  <c r="H521" i="2"/>
  <c r="H516" i="2"/>
  <c r="H517" i="2"/>
  <c r="H518" i="2"/>
  <c r="H515" i="2"/>
  <c r="H505" i="2"/>
  <c r="H506" i="2"/>
  <c r="H507" i="2"/>
  <c r="H504" i="2"/>
  <c r="H501" i="2"/>
  <c r="H500" i="2"/>
  <c r="H497" i="2"/>
  <c r="H496" i="2" s="1"/>
  <c r="H495" i="2"/>
  <c r="H494" i="2" s="1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8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60" i="2"/>
  <c r="H453" i="2"/>
  <c r="H452" i="2" s="1"/>
  <c r="H451" i="2"/>
  <c r="H450" i="2" s="1"/>
  <c r="H448" i="2"/>
  <c r="H447" i="2"/>
  <c r="F443" i="2"/>
  <c r="G443" i="2"/>
  <c r="F450" i="2"/>
  <c r="G450" i="2"/>
  <c r="F452" i="2"/>
  <c r="G452" i="2"/>
  <c r="F459" i="2"/>
  <c r="G459" i="2"/>
  <c r="F479" i="2"/>
  <c r="G479" i="2"/>
  <c r="F494" i="2"/>
  <c r="G494" i="2"/>
  <c r="F496" i="2"/>
  <c r="G496" i="2"/>
  <c r="F499" i="2"/>
  <c r="G499" i="2"/>
  <c r="F503" i="2"/>
  <c r="G503" i="2"/>
  <c r="F508" i="2"/>
  <c r="G508" i="2"/>
  <c r="F511" i="2"/>
  <c r="G511" i="2"/>
  <c r="G514" i="2"/>
  <c r="F514" i="2"/>
  <c r="F522" i="2"/>
  <c r="G522" i="2"/>
  <c r="F532" i="2"/>
  <c r="G532" i="2"/>
  <c r="F545" i="2"/>
  <c r="G545" i="2"/>
  <c r="G556" i="2"/>
  <c r="F556" i="2"/>
  <c r="F564" i="2"/>
  <c r="G564" i="2"/>
  <c r="F569" i="2"/>
  <c r="G569" i="2"/>
  <c r="F595" i="2"/>
  <c r="G595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21" i="2"/>
  <c r="H411" i="2"/>
  <c r="H410" i="2" s="1"/>
  <c r="H409" i="2"/>
  <c r="H408" i="2" s="1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393" i="2"/>
  <c r="H391" i="2"/>
  <c r="H390" i="2" s="1"/>
  <c r="H381" i="2"/>
  <c r="H382" i="2"/>
  <c r="H383" i="2"/>
  <c r="H384" i="2"/>
  <c r="H385" i="2"/>
  <c r="H386" i="2"/>
  <c r="H387" i="2"/>
  <c r="H388" i="2"/>
  <c r="H389" i="2"/>
  <c r="H380" i="2"/>
  <c r="H378" i="2"/>
  <c r="H377" i="2" s="1"/>
  <c r="H376" i="2"/>
  <c r="H375" i="2" s="1"/>
  <c r="H368" i="2"/>
  <c r="H369" i="2"/>
  <c r="H370" i="2"/>
  <c r="H371" i="2"/>
  <c r="H372" i="2"/>
  <c r="H373" i="2"/>
  <c r="H374" i="2"/>
  <c r="H367" i="2"/>
  <c r="H365" i="2"/>
  <c r="H364" i="2" s="1"/>
  <c r="H348" i="2"/>
  <c r="H349" i="2"/>
  <c r="H350" i="2"/>
  <c r="H351" i="2"/>
  <c r="H352" i="2"/>
  <c r="H353" i="2"/>
  <c r="H354" i="2"/>
  <c r="H355" i="2"/>
  <c r="H356" i="2"/>
  <c r="H347" i="2"/>
  <c r="H341" i="2"/>
  <c r="H342" i="2"/>
  <c r="H343" i="2"/>
  <c r="H344" i="2"/>
  <c r="H345" i="2"/>
  <c r="H340" i="2"/>
  <c r="H337" i="2"/>
  <c r="H336" i="2" s="1"/>
  <c r="H330" i="2"/>
  <c r="H323" i="2"/>
  <c r="H302" i="2"/>
  <c r="H301" i="2" s="1"/>
  <c r="H298" i="2"/>
  <c r="H291" i="2"/>
  <c r="H289" i="2"/>
  <c r="H288" i="2"/>
  <c r="H246" i="2"/>
  <c r="H208" i="2"/>
  <c r="H207" i="2"/>
  <c r="H202" i="2"/>
  <c r="H203" i="2"/>
  <c r="H204" i="2"/>
  <c r="H201" i="2"/>
  <c r="H199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85" i="2"/>
  <c r="H181" i="2"/>
  <c r="H182" i="2"/>
  <c r="H183" i="2"/>
  <c r="H180" i="2"/>
  <c r="H174" i="2"/>
  <c r="H175" i="2"/>
  <c r="H176" i="2"/>
  <c r="H177" i="2"/>
  <c r="H178" i="2"/>
  <c r="H173" i="2"/>
  <c r="H152" i="2"/>
  <c r="H153" i="2"/>
  <c r="H151" i="2"/>
  <c r="H140" i="2"/>
  <c r="H141" i="2"/>
  <c r="H142" i="2"/>
  <c r="H143" i="2"/>
  <c r="H144" i="2"/>
  <c r="H139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23" i="2"/>
  <c r="H119" i="2"/>
  <c r="H120" i="2"/>
  <c r="H118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92" i="2"/>
  <c r="H89" i="2"/>
  <c r="H90" i="2"/>
  <c r="H88" i="2"/>
  <c r="H85" i="2"/>
  <c r="H86" i="2"/>
  <c r="H84" i="2"/>
  <c r="H81" i="2"/>
  <c r="H80" i="2" s="1"/>
  <c r="H79" i="2"/>
  <c r="H78" i="2"/>
  <c r="H74" i="2"/>
  <c r="H75" i="2"/>
  <c r="H76" i="2"/>
  <c r="H73" i="2"/>
  <c r="H70" i="2"/>
  <c r="H69" i="2" s="1"/>
  <c r="H65" i="2"/>
  <c r="H66" i="2"/>
  <c r="H67" i="2"/>
  <c r="H68" i="2"/>
  <c r="H64" i="2"/>
  <c r="H58" i="2"/>
  <c r="H59" i="2"/>
  <c r="H60" i="2"/>
  <c r="H61" i="2"/>
  <c r="H57" i="2"/>
  <c r="H45" i="2"/>
  <c r="H46" i="2"/>
  <c r="H47" i="2"/>
  <c r="H48" i="2"/>
  <c r="H50" i="2"/>
  <c r="H44" i="2"/>
  <c r="H40" i="2"/>
  <c r="H33" i="2"/>
  <c r="H32" i="2" s="1"/>
  <c r="H13" i="2"/>
  <c r="H12" i="2" s="1"/>
  <c r="H11" i="2"/>
  <c r="H10" i="2" s="1"/>
  <c r="H9" i="2"/>
  <c r="H8" i="2"/>
  <c r="H213" i="2"/>
  <c r="H212" i="2" s="1"/>
  <c r="F150" i="2"/>
  <c r="F149" i="2" s="1"/>
  <c r="G150" i="2"/>
  <c r="G149" i="2" s="1"/>
  <c r="F172" i="2"/>
  <c r="G172" i="2"/>
  <c r="F179" i="2"/>
  <c r="G179" i="2"/>
  <c r="F184" i="2"/>
  <c r="G184" i="2"/>
  <c r="F200" i="2"/>
  <c r="G200" i="2"/>
  <c r="F206" i="2"/>
  <c r="F205" i="2" s="1"/>
  <c r="G206" i="2"/>
  <c r="G205" i="2" s="1"/>
  <c r="G210" i="2"/>
  <c r="F210" i="2"/>
  <c r="F212" i="2"/>
  <c r="G212" i="2"/>
  <c r="F287" i="2"/>
  <c r="G287" i="2"/>
  <c r="F290" i="2"/>
  <c r="G290" i="2"/>
  <c r="F299" i="2"/>
  <c r="G299" i="2"/>
  <c r="F301" i="2"/>
  <c r="G301" i="2"/>
  <c r="G303" i="2"/>
  <c r="F303" i="2"/>
  <c r="F306" i="2"/>
  <c r="G306" i="2"/>
  <c r="F339" i="2"/>
  <c r="G339" i="2"/>
  <c r="F358" i="2"/>
  <c r="G358" i="2"/>
  <c r="H360" i="2"/>
  <c r="F364" i="2"/>
  <c r="G364" i="2"/>
  <c r="F366" i="2"/>
  <c r="G366" i="2"/>
  <c r="F375" i="2"/>
  <c r="G375" i="2"/>
  <c r="F377" i="2"/>
  <c r="G377" i="2"/>
  <c r="F379" i="2"/>
  <c r="G379" i="2"/>
  <c r="F390" i="2"/>
  <c r="G390" i="2"/>
  <c r="F392" i="2"/>
  <c r="G392" i="2"/>
  <c r="F408" i="2"/>
  <c r="G408" i="2"/>
  <c r="F410" i="2"/>
  <c r="G410" i="2"/>
  <c r="F32" i="2"/>
  <c r="G32" i="2"/>
  <c r="F39" i="2"/>
  <c r="G39" i="2"/>
  <c r="F43" i="2"/>
  <c r="G43" i="2"/>
  <c r="F63" i="2"/>
  <c r="G63" i="2"/>
  <c r="F69" i="2"/>
  <c r="G69" i="2"/>
  <c r="F72" i="2"/>
  <c r="G72" i="2"/>
  <c r="F77" i="2"/>
  <c r="G77" i="2"/>
  <c r="F80" i="2"/>
  <c r="G80" i="2"/>
  <c r="F83" i="2"/>
  <c r="G83" i="2"/>
  <c r="F87" i="2"/>
  <c r="G87" i="2"/>
  <c r="F91" i="2"/>
  <c r="G91" i="2"/>
  <c r="F122" i="2"/>
  <c r="G122" i="2"/>
  <c r="F138" i="2"/>
  <c r="G138" i="2"/>
  <c r="F7" i="2"/>
  <c r="G7" i="2"/>
  <c r="F10" i="2"/>
  <c r="G10" i="2"/>
  <c r="F12" i="2"/>
  <c r="G12" i="2"/>
  <c r="F14" i="2"/>
  <c r="G14" i="2"/>
  <c r="H14" i="2"/>
  <c r="F28" i="2"/>
  <c r="G28" i="2"/>
  <c r="H28" i="2"/>
  <c r="H25" i="2" s="1"/>
  <c r="H176" i="1" l="1"/>
  <c r="G502" i="2"/>
  <c r="F502" i="2"/>
  <c r="H245" i="2"/>
  <c r="H526" i="2"/>
  <c r="G169" i="2"/>
  <c r="F169" i="2"/>
  <c r="H101" i="1"/>
  <c r="F101" i="1"/>
  <c r="G101" i="1"/>
  <c r="G31" i="2"/>
  <c r="F31" i="2"/>
  <c r="G140" i="1"/>
  <c r="H140" i="1"/>
  <c r="F140" i="1"/>
  <c r="G187" i="1"/>
  <c r="G458" i="2"/>
  <c r="F458" i="2"/>
  <c r="H419" i="2"/>
  <c r="H115" i="2"/>
  <c r="F187" i="1"/>
  <c r="H91" i="1"/>
  <c r="F168" i="1"/>
  <c r="H168" i="1"/>
  <c r="G108" i="1"/>
  <c r="F108" i="1"/>
  <c r="H38" i="1"/>
  <c r="G33" i="1"/>
  <c r="F33" i="1"/>
  <c r="H346" i="2"/>
  <c r="F25" i="2"/>
  <c r="H535" i="2"/>
  <c r="G214" i="2"/>
  <c r="F214" i="2"/>
  <c r="H287" i="2"/>
  <c r="H449" i="2"/>
  <c r="H591" i="2"/>
  <c r="H77" i="2"/>
  <c r="H444" i="2"/>
  <c r="H443" i="2" s="1"/>
  <c r="H522" i="2"/>
  <c r="H532" i="2"/>
  <c r="F449" i="2"/>
  <c r="H206" i="2"/>
  <c r="H205" i="2" s="1"/>
  <c r="G449" i="2"/>
  <c r="H179" i="2"/>
  <c r="G363" i="2"/>
  <c r="F363" i="2"/>
  <c r="H503" i="2"/>
  <c r="H83" i="2"/>
  <c r="H87" i="2"/>
  <c r="H72" i="2"/>
  <c r="H150" i="2"/>
  <c r="H149" i="2" s="1"/>
  <c r="H7" i="2"/>
  <c r="H6" i="2" s="1"/>
  <c r="H499" i="2"/>
  <c r="H339" i="2"/>
  <c r="G209" i="2"/>
  <c r="H290" i="2"/>
  <c r="H200" i="2"/>
  <c r="G71" i="2"/>
  <c r="H172" i="2"/>
  <c r="H366" i="2"/>
  <c r="H459" i="2"/>
  <c r="H479" i="2"/>
  <c r="H195" i="1"/>
  <c r="H56" i="1"/>
  <c r="H75" i="1"/>
  <c r="H15" i="1"/>
  <c r="H14" i="1" s="1"/>
  <c r="H98" i="1"/>
  <c r="H82" i="1"/>
  <c r="G50" i="1"/>
  <c r="F50" i="1"/>
  <c r="G72" i="1"/>
  <c r="F72" i="1"/>
  <c r="G25" i="2"/>
  <c r="F539" i="2"/>
  <c r="G539" i="2"/>
  <c r="G563" i="2"/>
  <c r="F563" i="2"/>
  <c r="H392" i="2"/>
  <c r="H379" i="2"/>
  <c r="H184" i="2"/>
  <c r="H122" i="2"/>
  <c r="H91" i="2"/>
  <c r="F71" i="2"/>
  <c r="H63" i="2"/>
  <c r="F54" i="2"/>
  <c r="G54" i="2"/>
  <c r="F209" i="2"/>
  <c r="F335" i="2"/>
  <c r="G335" i="2"/>
  <c r="G82" i="2"/>
  <c r="F82" i="2"/>
  <c r="G6" i="2"/>
  <c r="F6" i="2"/>
  <c r="G599" i="2" l="1"/>
  <c r="F599" i="2"/>
  <c r="H169" i="2"/>
  <c r="G201" i="1"/>
  <c r="F201" i="1"/>
  <c r="H458" i="2"/>
  <c r="H33" i="1"/>
  <c r="H71" i="2"/>
  <c r="H335" i="2"/>
  <c r="H363" i="2"/>
  <c r="H72" i="1"/>
  <c r="E48" i="15"/>
  <c r="H49" i="2"/>
  <c r="H43" i="2" s="1"/>
  <c r="H62" i="2"/>
  <c r="H54" i="23"/>
  <c r="G54" i="23"/>
  <c r="H41" i="23"/>
  <c r="H32" i="23"/>
  <c r="E260" i="2"/>
  <c r="H260" i="2" s="1"/>
  <c r="H211" i="2"/>
  <c r="H210" i="2" s="1"/>
  <c r="H209" i="2" s="1"/>
  <c r="H41" i="2"/>
  <c r="H42" i="2"/>
  <c r="H16" i="5"/>
  <c r="H15" i="5" s="1"/>
  <c r="H11" i="5" s="1"/>
  <c r="H126" i="23"/>
  <c r="E50" i="5"/>
  <c r="H50" i="5" s="1"/>
  <c r="E241" i="2"/>
  <c r="H241" i="2" s="1"/>
  <c r="E565" i="2"/>
  <c r="H565" i="2" s="1"/>
  <c r="E284" i="2"/>
  <c r="H284" i="2" s="1"/>
  <c r="E275" i="2"/>
  <c r="H275" i="2" s="1"/>
  <c r="E258" i="2"/>
  <c r="E262" i="2"/>
  <c r="H262" i="2" s="1"/>
  <c r="E580" i="2"/>
  <c r="H546" i="2"/>
  <c r="E568" i="2"/>
  <c r="H568" i="2" s="1"/>
  <c r="E598" i="2"/>
  <c r="H598" i="2" s="1"/>
  <c r="H595" i="2" s="1"/>
  <c r="E562" i="2"/>
  <c r="H562" i="2" s="1"/>
  <c r="H556" i="2" s="1"/>
  <c r="E551" i="2"/>
  <c r="H551" i="2" s="1"/>
  <c r="E80" i="5"/>
  <c r="H80" i="5" s="1"/>
  <c r="H79" i="5" s="1"/>
  <c r="E76" i="5"/>
  <c r="H76" i="5" s="1"/>
  <c r="H75" i="5" s="1"/>
  <c r="E73" i="5"/>
  <c r="H73" i="5" s="1"/>
  <c r="H70" i="5" s="1"/>
  <c r="E68" i="5"/>
  <c r="E62" i="5"/>
  <c r="H62" i="5" s="1"/>
  <c r="H61" i="5" s="1"/>
  <c r="H58" i="5" s="1"/>
  <c r="E59" i="5"/>
  <c r="E503" i="2"/>
  <c r="E519" i="2"/>
  <c r="H51" i="5"/>
  <c r="H179" i="23"/>
  <c r="H178" i="23" s="1"/>
  <c r="H112" i="23"/>
  <c r="H111" i="23" s="1"/>
  <c r="G112" i="23"/>
  <c r="H117" i="23"/>
  <c r="G24" i="23"/>
  <c r="H152" i="23"/>
  <c r="E32" i="18"/>
  <c r="E188" i="1"/>
  <c r="H162" i="23"/>
  <c r="H161" i="23"/>
  <c r="H137" i="23"/>
  <c r="H136" i="23" s="1"/>
  <c r="H150" i="23"/>
  <c r="H24" i="23"/>
  <c r="H23" i="23" s="1"/>
  <c r="G76" i="23"/>
  <c r="G19" i="23"/>
  <c r="G156" i="23"/>
  <c r="G70" i="23"/>
  <c r="G80" i="23"/>
  <c r="H42" i="23"/>
  <c r="H61" i="23"/>
  <c r="H49" i="23"/>
  <c r="H53" i="23"/>
  <c r="G117" i="23"/>
  <c r="H123" i="23"/>
  <c r="E269" i="2"/>
  <c r="H269" i="2" s="1"/>
  <c r="E121" i="1"/>
  <c r="H121" i="1" s="1"/>
  <c r="H88" i="23"/>
  <c r="H158" i="23"/>
  <c r="H85" i="23"/>
  <c r="H83" i="23"/>
  <c r="H166" i="23"/>
  <c r="H176" i="23"/>
  <c r="H175" i="23" s="1"/>
  <c r="H100" i="23"/>
  <c r="H99" i="23" s="1"/>
  <c r="H103" i="23"/>
  <c r="H102" i="23" s="1"/>
  <c r="H105" i="23"/>
  <c r="H140" i="23"/>
  <c r="H139" i="23" s="1"/>
  <c r="H75" i="23"/>
  <c r="H74" i="23" s="1"/>
  <c r="H72" i="23"/>
  <c r="H71" i="23" s="1"/>
  <c r="H67" i="23"/>
  <c r="H69" i="23"/>
  <c r="H80" i="23"/>
  <c r="H79" i="23" s="1"/>
  <c r="H78" i="23" s="1"/>
  <c r="H77" i="23" s="1"/>
  <c r="H56" i="23"/>
  <c r="H63" i="23"/>
  <c r="H43" i="23"/>
  <c r="H51" i="23"/>
  <c r="H38" i="23"/>
  <c r="H34" i="23"/>
  <c r="H46" i="23"/>
  <c r="H36" i="23"/>
  <c r="H60" i="23"/>
  <c r="H47" i="23"/>
  <c r="H33" i="23"/>
  <c r="H39" i="23"/>
  <c r="H48" i="23"/>
  <c r="H50" i="23"/>
  <c r="H45" i="23"/>
  <c r="H40" i="23"/>
  <c r="E77" i="5"/>
  <c r="H29" i="23"/>
  <c r="H27" i="23" s="1"/>
  <c r="H18" i="23"/>
  <c r="H17" i="23" s="1"/>
  <c r="H14" i="23"/>
  <c r="H13" i="23" s="1"/>
  <c r="H11" i="23"/>
  <c r="H10" i="23"/>
  <c r="E450" i="2"/>
  <c r="E304" i="2"/>
  <c r="E479" i="2"/>
  <c r="E522" i="2"/>
  <c r="E459" i="2"/>
  <c r="E392" i="2"/>
  <c r="E379" i="2"/>
  <c r="E366" i="2"/>
  <c r="E325" i="2"/>
  <c r="H325" i="2" s="1"/>
  <c r="G166" i="23"/>
  <c r="G60" i="23"/>
  <c r="G50" i="23"/>
  <c r="G37" i="23"/>
  <c r="G59" i="23"/>
  <c r="H95" i="23" l="1"/>
  <c r="H165" i="23"/>
  <c r="H164" i="23" s="1"/>
  <c r="H163" i="23" s="1"/>
  <c r="H258" i="2"/>
  <c r="H257" i="2" s="1"/>
  <c r="E257" i="2"/>
  <c r="H55" i="2"/>
  <c r="H54" i="2" s="1"/>
  <c r="H74" i="5"/>
  <c r="E49" i="5"/>
  <c r="E67" i="5"/>
  <c r="H68" i="5"/>
  <c r="H67" i="5" s="1"/>
  <c r="H66" i="5" s="1"/>
  <c r="H49" i="5"/>
  <c r="H39" i="2"/>
  <c r="H31" i="2" s="1"/>
  <c r="E514" i="2"/>
  <c r="H519" i="2"/>
  <c r="H514" i="2" s="1"/>
  <c r="E569" i="2"/>
  <c r="H580" i="2"/>
  <c r="H569" i="2" s="1"/>
  <c r="E303" i="2"/>
  <c r="H304" i="2"/>
  <c r="H303" i="2" s="1"/>
  <c r="H135" i="23"/>
  <c r="H31" i="23"/>
  <c r="H30" i="23" s="1"/>
  <c r="H149" i="23"/>
  <c r="H160" i="23"/>
  <c r="H154" i="23" s="1"/>
  <c r="H82" i="23"/>
  <c r="H87" i="23"/>
  <c r="H66" i="23"/>
  <c r="H65" i="23" s="1"/>
  <c r="H22" i="23"/>
  <c r="H9" i="23"/>
  <c r="E33" i="5"/>
  <c r="E7" i="5"/>
  <c r="E9" i="5"/>
  <c r="E15" i="5"/>
  <c r="E70" i="5"/>
  <c r="E44" i="5"/>
  <c r="E36" i="5"/>
  <c r="E22" i="5"/>
  <c r="E18" i="5"/>
  <c r="H148" i="23" l="1"/>
  <c r="H81" i="5"/>
  <c r="H110" i="23"/>
  <c r="H109" i="23" s="1"/>
  <c r="H16" i="23"/>
  <c r="E11" i="5"/>
  <c r="H81" i="23"/>
  <c r="E6" i="5"/>
  <c r="H185" i="23" l="1"/>
  <c r="E308" i="2"/>
  <c r="H308" i="2" s="1"/>
  <c r="E307" i="2"/>
  <c r="H307" i="2" s="1"/>
  <c r="E300" i="2"/>
  <c r="H300" i="2" s="1"/>
  <c r="H299" i="2" s="1"/>
  <c r="E566" i="2"/>
  <c r="E544" i="2"/>
  <c r="H544" i="2" s="1"/>
  <c r="H509" i="2"/>
  <c r="E510" i="2"/>
  <c r="H510" i="2" s="1"/>
  <c r="E85" i="12"/>
  <c r="E80" i="12"/>
  <c r="E40" i="12"/>
  <c r="H508" i="2" l="1"/>
  <c r="H306" i="2"/>
  <c r="E564" i="2"/>
  <c r="H566" i="2"/>
  <c r="H564" i="2" s="1"/>
  <c r="H563" i="2" s="1"/>
  <c r="E63" i="2"/>
  <c r="E7" i="2"/>
  <c r="E34" i="18" l="1"/>
  <c r="E31" i="18" s="1"/>
  <c r="E9" i="18"/>
  <c r="E556" i="2"/>
  <c r="E499" i="2"/>
  <c r="E339" i="2"/>
  <c r="E290" i="2"/>
  <c r="E245" i="2"/>
  <c r="E122" i="2"/>
  <c r="E87" i="2"/>
  <c r="E83" i="2"/>
  <c r="E72" i="2"/>
  <c r="E43" i="2"/>
  <c r="E28" i="2"/>
  <c r="E25" i="2" s="1"/>
  <c r="E82" i="1"/>
  <c r="E75" i="1"/>
  <c r="E12" i="1"/>
  <c r="E11" i="1" s="1"/>
  <c r="E15" i="1"/>
  <c r="E14" i="1" s="1"/>
  <c r="E148" i="2" l="1"/>
  <c r="H148" i="2" s="1"/>
  <c r="E147" i="2"/>
  <c r="H147" i="2" s="1"/>
  <c r="E193" i="1"/>
  <c r="E27" i="1"/>
  <c r="E508" i="2"/>
  <c r="H27" i="1" l="1"/>
  <c r="H138" i="2"/>
  <c r="H82" i="2" s="1"/>
  <c r="E192" i="1"/>
  <c r="E187" i="1" s="1"/>
  <c r="H193" i="1"/>
  <c r="H192" i="1" s="1"/>
  <c r="H187" i="1" s="1"/>
  <c r="E138" i="2"/>
  <c r="E120" i="1"/>
  <c r="E28" i="1"/>
  <c r="E25" i="1" s="1"/>
  <c r="E595" i="2"/>
  <c r="E115" i="1"/>
  <c r="H115" i="1" s="1"/>
  <c r="H109" i="1" s="1"/>
  <c r="E39" i="2"/>
  <c r="E513" i="2"/>
  <c r="H513" i="2" s="1"/>
  <c r="E324" i="2"/>
  <c r="E320" i="2" s="1"/>
  <c r="E14" i="2"/>
  <c r="H324" i="2" l="1"/>
  <c r="H320" i="2" s="1"/>
  <c r="E119" i="1"/>
  <c r="H120" i="1"/>
  <c r="H119" i="1" s="1"/>
  <c r="H108" i="1" s="1"/>
  <c r="H28" i="1"/>
  <c r="E216" i="2"/>
  <c r="H25" i="1" l="1"/>
  <c r="H216" i="2"/>
  <c r="H215" i="2" s="1"/>
  <c r="E215" i="2"/>
  <c r="E88" i="12"/>
  <c r="E45" i="11"/>
  <c r="E125" i="1"/>
  <c r="E22" i="11"/>
  <c r="E21" i="11" s="1"/>
  <c r="H10" i="11"/>
  <c r="E158" i="1"/>
  <c r="H52" i="1"/>
  <c r="H51" i="1" s="1"/>
  <c r="H50" i="1" s="1"/>
  <c r="E24" i="18"/>
  <c r="E17" i="18"/>
  <c r="E15" i="18"/>
  <c r="E14" i="18" s="1"/>
  <c r="E27" i="15"/>
  <c r="E6" i="15"/>
  <c r="H18" i="1" l="1"/>
  <c r="H201" i="1" s="1"/>
  <c r="E37" i="18"/>
  <c r="H9" i="11"/>
  <c r="H8" i="11" s="1"/>
  <c r="H31" i="11" s="1"/>
  <c r="E7" i="1"/>
  <c r="E6" i="1" s="1"/>
  <c r="E29" i="1"/>
  <c r="E18" i="1" s="1"/>
  <c r="E51" i="1"/>
  <c r="E70" i="1"/>
  <c r="E69" i="1" s="1"/>
  <c r="E73" i="1"/>
  <c r="E98" i="1"/>
  <c r="E102" i="1"/>
  <c r="E106" i="1"/>
  <c r="E109" i="1"/>
  <c r="E141" i="1"/>
  <c r="E143" i="1"/>
  <c r="E148" i="1"/>
  <c r="E160" i="1"/>
  <c r="E174" i="1"/>
  <c r="E185" i="1"/>
  <c r="E176" i="1" s="1"/>
  <c r="E195" i="1"/>
  <c r="E452" i="2"/>
  <c r="E449" i="2" s="1"/>
  <c r="E27" i="5"/>
  <c r="E101" i="1" l="1"/>
  <c r="E140" i="1"/>
  <c r="E168" i="1"/>
  <c r="E108" i="1"/>
  <c r="E33" i="1"/>
  <c r="E50" i="1"/>
  <c r="E72" i="1"/>
  <c r="E46" i="12"/>
  <c r="E45" i="12" s="1"/>
  <c r="E532" i="2"/>
  <c r="E408" i="2"/>
  <c r="E306" i="2"/>
  <c r="E200" i="2"/>
  <c r="E184" i="2"/>
  <c r="E179" i="2"/>
  <c r="E172" i="2"/>
  <c r="E64" i="12"/>
  <c r="E21" i="12"/>
  <c r="E16" i="12"/>
  <c r="E15" i="12" s="1"/>
  <c r="E169" i="2" l="1"/>
  <c r="E201" i="1"/>
  <c r="E66" i="12"/>
  <c r="E549" i="2"/>
  <c r="H549" i="2" s="1"/>
  <c r="E547" i="2"/>
  <c r="E543" i="2"/>
  <c r="E540" i="2" s="1"/>
  <c r="E210" i="2"/>
  <c r="E41" i="11"/>
  <c r="E29" i="11"/>
  <c r="E15" i="11"/>
  <c r="E91" i="2"/>
  <c r="E82" i="2" s="1"/>
  <c r="E512" i="2"/>
  <c r="E375" i="2"/>
  <c r="E69" i="2"/>
  <c r="E54" i="2" s="1"/>
  <c r="E206" i="2"/>
  <c r="E205" i="2" s="1"/>
  <c r="E360" i="2"/>
  <c r="E77" i="2"/>
  <c r="E212" i="2"/>
  <c r="E563" i="2"/>
  <c r="E496" i="2"/>
  <c r="E494" i="2"/>
  <c r="E458" i="2" s="1"/>
  <c r="E443" i="2"/>
  <c r="E410" i="2"/>
  <c r="E390" i="2"/>
  <c r="E377" i="2"/>
  <c r="E364" i="2"/>
  <c r="E358" i="2"/>
  <c r="E301" i="2"/>
  <c r="E299" i="2"/>
  <c r="E287" i="2"/>
  <c r="E214" i="2" s="1"/>
  <c r="E150" i="2"/>
  <c r="E149" i="2" s="1"/>
  <c r="E12" i="2"/>
  <c r="E10" i="2"/>
  <c r="E32" i="2"/>
  <c r="E31" i="2" s="1"/>
  <c r="E80" i="2"/>
  <c r="E79" i="5"/>
  <c r="E75" i="5"/>
  <c r="E61" i="5"/>
  <c r="E46" i="5"/>
  <c r="E42" i="5"/>
  <c r="E32" i="5"/>
  <c r="E25" i="5"/>
  <c r="E21" i="5" s="1"/>
  <c r="E30" i="5"/>
  <c r="E29" i="5" s="1"/>
  <c r="E87" i="12"/>
  <c r="E82" i="12"/>
  <c r="E79" i="12" s="1"/>
  <c r="E59" i="11"/>
  <c r="E56" i="11"/>
  <c r="E55" i="11" s="1"/>
  <c r="E47" i="11"/>
  <c r="E43" i="11"/>
  <c r="E25" i="11"/>
  <c r="E39" i="5" l="1"/>
  <c r="E58" i="5"/>
  <c r="E24" i="11"/>
  <c r="E31" i="11" s="1"/>
  <c r="E363" i="2"/>
  <c r="H543" i="2"/>
  <c r="H540" i="2" s="1"/>
  <c r="E545" i="2"/>
  <c r="E539" i="2" s="1"/>
  <c r="H547" i="2"/>
  <c r="H545" i="2" s="1"/>
  <c r="E511" i="2"/>
  <c r="E502" i="2" s="1"/>
  <c r="H512" i="2"/>
  <c r="H511" i="2" s="1"/>
  <c r="H502" i="2" s="1"/>
  <c r="E74" i="5"/>
  <c r="E71" i="2"/>
  <c r="E90" i="12"/>
  <c r="E335" i="2"/>
  <c r="E6" i="2"/>
  <c r="E209" i="2"/>
  <c r="E40" i="11"/>
  <c r="E50" i="11" s="1"/>
  <c r="E66" i="5"/>
  <c r="E58" i="11"/>
  <c r="E61" i="11" s="1"/>
  <c r="H539" i="2" l="1"/>
  <c r="E81" i="5"/>
  <c r="E599" i="2"/>
  <c r="H319" i="2" l="1"/>
  <c r="H318" i="2" s="1"/>
  <c r="H214" i="2" s="1"/>
  <c r="H599" i="2" s="1"/>
  <c r="E35" i="22" l="1"/>
  <c r="E52" i="22" s="1"/>
</calcChain>
</file>

<file path=xl/sharedStrings.xml><?xml version="1.0" encoding="utf-8"?>
<sst xmlns="http://schemas.openxmlformats.org/spreadsheetml/2006/main" count="1727" uniqueCount="489">
  <si>
    <t>Dział</t>
  </si>
  <si>
    <t>Rozdział</t>
  </si>
  <si>
    <t>§</t>
  </si>
  <si>
    <t>Wyszczególnienie</t>
  </si>
  <si>
    <t>Plan</t>
  </si>
  <si>
    <t>Rolnictwo i łowiectwo</t>
  </si>
  <si>
    <t>Infrastruktura sanitacyjna wsi</t>
  </si>
  <si>
    <t>Wpływy z najmu i dzierżawy składników majątkowych Skarbu Państwa, jednostek samorządu terytorialnego lub innych jednostek zaliczanych do sektora finansów publicznych oraz innych umów o podobnym charakterze</t>
  </si>
  <si>
    <t>Pozostała działalność</t>
  </si>
  <si>
    <t>Dotacja celowa otrzymana z budżetu państwa na realizację zadań bieżących z zakresu administracji rządowej oraz innych zadań zleconych gminie (związkom gmin, związkom powiatowo-gminnym) ustawami</t>
  </si>
  <si>
    <t>Leśnictwo</t>
  </si>
  <si>
    <t>Gospodarka leśna</t>
  </si>
  <si>
    <t>Transport i łączność</t>
  </si>
  <si>
    <t>Krajowe pasażerskie przewozy kolejowe</t>
  </si>
  <si>
    <t>Lokalny transport zbiorowy</t>
  </si>
  <si>
    <t>Drogi publiczne powiatowe</t>
  </si>
  <si>
    <t>Drogi publiczne gminne</t>
  </si>
  <si>
    <t>Dotacja celowa otrzymana z tytułu pomocy finansowej udzielanej między jednostkami samorządu terytorialnego na dofinansowanie własnych zadań inwestycyjnych i zakupów inwestycyjnych</t>
  </si>
  <si>
    <t>Gospodarka mieszkaniowa</t>
  </si>
  <si>
    <t>Wpływy z różnych opłat</t>
  </si>
  <si>
    <t>Wpływy z pozostałych odsetek</t>
  </si>
  <si>
    <t>Gospodarka gruntami i nieruchomościami</t>
  </si>
  <si>
    <t>Wpływy z opłat z tytułu użytkowania wieczystego nieruchomości</t>
  </si>
  <si>
    <t>Wpływy z tytułu przekształcenia prawa użytkowania wieczystego w prawo własności</t>
  </si>
  <si>
    <t>Gospodarowanie mieszkaniowym zasobem gminy</t>
  </si>
  <si>
    <t>Wpływy z usług</t>
  </si>
  <si>
    <t>Działalność usługowa</t>
  </si>
  <si>
    <t>Dotacja celowa w ramach programów finansowych z udziałem środków europejskich oraz środków, o których mowa w art. 5 ust. 3 pkt 5 lit. a i b ustawy, lub płatności w ramach budżetu środków europejskich, realizowanych przez jednostki samorządu terytorialnego</t>
  </si>
  <si>
    <t>Administracja publiczna</t>
  </si>
  <si>
    <t>Urzędy wojewódzkie</t>
  </si>
  <si>
    <t>Urzędy gmin (miast i miast na prawach powiatu)</t>
  </si>
  <si>
    <t>Wpływy z różnych dochodów</t>
  </si>
  <si>
    <t>Urzędy naczelnych organów władzy państwowej, kontroli i ochrony prawa oraz sądownictwa</t>
  </si>
  <si>
    <t>Urzędy naczelnych organów władzy państwowej, kontroli i ochrony prawa</t>
  </si>
  <si>
    <t>Bezpieczeństwo publiczne i ochrona przeciwpożarowa</t>
  </si>
  <si>
    <t>Straż gminna (miejska)</t>
  </si>
  <si>
    <t>Wpływy z tytułu grzywien, mandatów i innych kar pieniężnych od osób fizycznych</t>
  </si>
  <si>
    <t>Dochody od osób prawnych, od osób fizycznych i od innych jednostek nieposiadających osobowości prawnej oraz wydatki związane z ich poborem</t>
  </si>
  <si>
    <t>Wpływy z podatku dochodowego od osób fizycznych</t>
  </si>
  <si>
    <t>Wpływy z podatku od działalności gospodarczej osób fizycznych, opłacanego w formie karty podatkowej</t>
  </si>
  <si>
    <t>Wpływy z odsetek od nieterminowych wpłat z tytułu podatków i opłat</t>
  </si>
  <si>
    <t>Wpływy z podatku rolnego, podatku leśnego, podatku od czynności cywilnoprawnych, podatków i opłat lokalnych od osób prawnych i innych jednostek organizacyjnych</t>
  </si>
  <si>
    <t>Wpływy z podatku od nieruchomości</t>
  </si>
  <si>
    <t>Wpływy z podatku rolnego</t>
  </si>
  <si>
    <t>Wpływy z podatku leśnego</t>
  </si>
  <si>
    <t>Wpływy z podatku od środków transportowych</t>
  </si>
  <si>
    <t>Wpływy z podatku od czynności cywilnoprawnych</t>
  </si>
  <si>
    <t>Wpływy z podatku od spadków i darowizn</t>
  </si>
  <si>
    <t>Wpływy z innych opłat stanowiących dochody jednostek samorządu terytorialnego na podstawie ustaw</t>
  </si>
  <si>
    <t>Wpływy z opłaty skarbowej</t>
  </si>
  <si>
    <t>Wpływy z opłat za zezwolenia na sprzedaż napojów alkoholowych</t>
  </si>
  <si>
    <t>Wpływy z innych lokalnych opłat pobieranych przez jednostki samorządu terytorialnego na podstawie odrębnych ustaw</t>
  </si>
  <si>
    <t>Udziały gmin w podatkach stanowiących dochód budżetu państwa</t>
  </si>
  <si>
    <t>Wpływy z podatku dochodowego od osób prawnych</t>
  </si>
  <si>
    <t>Różne rozliczenia</t>
  </si>
  <si>
    <t>Część oświatowa subwencji ogólnej dla jednostek samorządu terytorialnego</t>
  </si>
  <si>
    <t>Subwencje ogólne z budżetu państwa</t>
  </si>
  <si>
    <t>Różne rozliczenia finansowe</t>
  </si>
  <si>
    <t>Oświata i wychowanie</t>
  </si>
  <si>
    <t>Szkoły podstawowe</t>
  </si>
  <si>
    <t>Oddziały przedszkolne w szkołach podstawowych</t>
  </si>
  <si>
    <t>Dotacja celowa otrzymana z gminy na zadania bieżące realizowane na podstawie porozumień (umów) między jednostkami samorządu terytorialnego</t>
  </si>
  <si>
    <t xml:space="preserve">Przedszkola </t>
  </si>
  <si>
    <t>Wpływy z opłat za korzystanie z wychowania przedszkolnego</t>
  </si>
  <si>
    <t>Wpływy z opłat za korzystanie z wyżywienia w jednostkach realizujących zadania z zakresu wychowania przedszkolnego</t>
  </si>
  <si>
    <t>Dotacja celowa otrzymana z budżetu państwa na realizację własnych zadań bieżących gmin (związków gmin, związków powiatowo-gminnych)</t>
  </si>
  <si>
    <t>Inne formy wychowania przedszkolnego</t>
  </si>
  <si>
    <t>Pomoc społeczna</t>
  </si>
  <si>
    <t>Domy pomocy społecznej</t>
  </si>
  <si>
    <t>Składki na ubezpieczenie zdrowotne opłacane za osoby pobierające niektóre świadczenia z pomocy społecznej oraz za osoby uczestniczące w zajęciach w centrum integracji społecznej</t>
  </si>
  <si>
    <t>Zasiłki okresowe, celowe i pomoc w naturze oraz składki na ubezpieczenia emerytalne i rentowe</t>
  </si>
  <si>
    <t>Dodatki mieszkaniowe</t>
  </si>
  <si>
    <t>Zasiłki stałe</t>
  </si>
  <si>
    <t>Ośrodki pomocy społecznej</t>
  </si>
  <si>
    <t>Usługi opiekuńcze i specjalistyczne usługi opiekuńcze</t>
  </si>
  <si>
    <t>Pomoc w zakresie dożywiania</t>
  </si>
  <si>
    <t>Centra integracji społecznej</t>
  </si>
  <si>
    <t>Pozostałe zadania w zakresie polityki społecznej</t>
  </si>
  <si>
    <t>Edukacyjna opieka wychowawcza</t>
  </si>
  <si>
    <t>Pomoc materialna dla uczniów o charakterze socjalnym</t>
  </si>
  <si>
    <t>Rodzina</t>
  </si>
  <si>
    <t xml:space="preserve">Świadczenia rodzinne, świadczenie z funduszu alimentacyjnego oraz składki na ubezpieczenia emerytalne i rentowe z ubezpieczenia społecznego_x000D_
</t>
  </si>
  <si>
    <t>Składki na ubezpieczenie zdrowotne opłacane za osoby pobierające niektóre świadczenia rodzinne oraz za osoby pobierające zasiłki dla opiekunów</t>
  </si>
  <si>
    <t>System opieki nad dziećmi w wieku do lat 3</t>
  </si>
  <si>
    <t>Gospodarka komunalna i ochrona środowiska</t>
  </si>
  <si>
    <t>Gospodarka ściekowa i ochrona wód</t>
  </si>
  <si>
    <t>Utrzymanie zieleni w miastach i gminach</t>
  </si>
  <si>
    <t>Ochrona powietrza atmosferycznego i klimatu</t>
  </si>
  <si>
    <t>Wpływy i wydatki związane z gromadzeniem środków z opłat i kar za korzystanie ze środowiska</t>
  </si>
  <si>
    <t>Kultura fizyczna</t>
  </si>
  <si>
    <t>Instytucje kultury fizycznej</t>
  </si>
  <si>
    <t>OGÓŁEM:</t>
  </si>
  <si>
    <t>Melioracje wodne</t>
  </si>
  <si>
    <t>Zakup usług pozostałych</t>
  </si>
  <si>
    <t>Spółki wodne</t>
  </si>
  <si>
    <t>Różne opłaty i składki</t>
  </si>
  <si>
    <t>Izby rolnicze</t>
  </si>
  <si>
    <t>Wpłaty gmin na rzecz izb rolniczych w wysokości 2% uzyskanych wpływów z podatku rolnego</t>
  </si>
  <si>
    <t>Wydatki inwestycyjne jednostek budżetowych</t>
  </si>
  <si>
    <t>Składki na ubezpieczenia społeczne</t>
  </si>
  <si>
    <t>Składki na Fundusz Pracy oraz Fundusz Solidarnościowy</t>
  </si>
  <si>
    <t>Wynagrodzenia bezosobowe</t>
  </si>
  <si>
    <t>Zakup materiałów i wyposażenia</t>
  </si>
  <si>
    <t>Wpłaty na PPK finansowane przez podmiot zatrudniający</t>
  </si>
  <si>
    <t>Wytwarzanie i zaopatrywanie w energię elektryczną, gaz i wodę</t>
  </si>
  <si>
    <t>Dostarczanie wody</t>
  </si>
  <si>
    <t>Dotacja celowa na pomoc finansową udzielaną między jednostkami samorządu terytorialnego na dofinansowanie własnych zadań bieżących</t>
  </si>
  <si>
    <t>Dotacja celowa przekazana gminie na zadania bieżące realizowane na podstawie porozumień (umów) między jednostkami samorządu terytorialnego</t>
  </si>
  <si>
    <t>Opłaty na rzecz budżetów jednostek samorządu terytorialnego</t>
  </si>
  <si>
    <t>Dotacja celowa na pomoc finansową udzielaną między jednostkami samorządu terytorialnego na dofinansowanie własnych zadań inwestycyjnych i zakupów inwestycyjnych</t>
  </si>
  <si>
    <t>Zakup usług remontowych</t>
  </si>
  <si>
    <t>Zakup energii</t>
  </si>
  <si>
    <t>Wydatki na zakupy inwestycyjne jednostek budżetowych</t>
  </si>
  <si>
    <t>Plany zagospodarowania przestrzennego</t>
  </si>
  <si>
    <t>Zadania z zakresu geodezji i kartografii</t>
  </si>
  <si>
    <t>Koszty postępowania sądowego i prokuratorskiego</t>
  </si>
  <si>
    <t>Wynagrodzenia osobowe pracowników</t>
  </si>
  <si>
    <t>Rady gmin (miast i miast na prawach powiatu)</t>
  </si>
  <si>
    <t xml:space="preserve">Różne wydatki na rzecz osób fizycznych </t>
  </si>
  <si>
    <t>Wydatki osobowe niezaliczone do wynagrodzeń</t>
  </si>
  <si>
    <t>Dodatkowe wynagrodzenie roczne</t>
  </si>
  <si>
    <t>Wpłaty na Państwowy Fundusz Rehabilitacji Osób Niepełnosprawnych</t>
  </si>
  <si>
    <t>Zakup środków żywności</t>
  </si>
  <si>
    <t>Zakup usług zdrowotnych</t>
  </si>
  <si>
    <t>Opłaty z tytułu zakupu usług telekomunikacyjnych</t>
  </si>
  <si>
    <t>Podróże służbowe krajowe</t>
  </si>
  <si>
    <t>Podróże służbowe zagraniczne</t>
  </si>
  <si>
    <t>Odpisy na zakładowy fundusz świadczeń socjalnych</t>
  </si>
  <si>
    <t xml:space="preserve">Szkolenia pracowników niebędących członkami korpusu służby cywilnej </t>
  </si>
  <si>
    <t>Promocja jednostek samorządu terytorialnego</t>
  </si>
  <si>
    <t>Wspólna obsługa jednostek samorządu terytorialnego</t>
  </si>
  <si>
    <t>Wynagrodzenia agencyjno-prowizyjne</t>
  </si>
  <si>
    <t>Ochotnicze straże pożarne</t>
  </si>
  <si>
    <t>Obrona cywilna</t>
  </si>
  <si>
    <t>Obsługa długu publicznego</t>
  </si>
  <si>
    <t>Obsługa papierów wartościowych, kredytów i pożyczek oraz innych zobowiązań jednostek samorządu terytorialnego zaliczanych do tytułu dłużnego – kredyty i pożyczki</t>
  </si>
  <si>
    <t>Koszty emisji samorządowych papierów wartościowych oraz inne opłaty i prowizje</t>
  </si>
  <si>
    <t>Odsetki od samorządowych papierów wartościowych lub zaciągniętych przez jednostkę samorządu terytorialnego kredytów i pożyczek</t>
  </si>
  <si>
    <t>Rezerwy ogólne i celowe</t>
  </si>
  <si>
    <t>Rezerwy</t>
  </si>
  <si>
    <t>Część równoważąca subwencji ogólnej dla gmin</t>
  </si>
  <si>
    <t>Wpłaty jednostek samorządu terytorialnego do budżetu państwa</t>
  </si>
  <si>
    <t>Dotacja podmiotowa z budżetu dla niepublicznej jednostki systemu oświaty</t>
  </si>
  <si>
    <t>Stypendia dla uczniów</t>
  </si>
  <si>
    <t>Inne formy pomocy dla uczniów</t>
  </si>
  <si>
    <t>Zakup środków dydaktycznych i książek</t>
  </si>
  <si>
    <t>Wynagrodzenia osobowe nauczycieli</t>
  </si>
  <si>
    <t>Dodatkowe wynagrodzenie roczne nauczycieli</t>
  </si>
  <si>
    <t>Zakup usług przez jednostki samorządu terytorialnego od innych jednostek samorządu terytorialnego</t>
  </si>
  <si>
    <t>Dotacja podmiotowa z budżetu dla publicznej jednostki systemu oświaty prowadzonej przez osobę prawną inną niż jednostka samorządu terytorialnego lub przez osobę fizyczną</t>
  </si>
  <si>
    <t>Świetlice szkolne</t>
  </si>
  <si>
    <t>Dowożenie uczniów do szkół</t>
  </si>
  <si>
    <t>Szkoły artystyczne</t>
  </si>
  <si>
    <t>Dokształcanie i doskonalenie nauczycieli</t>
  </si>
  <si>
    <t>Realizacja zadań wymagających stosowania specjalnej organizacji nauki i metod pracy dla dzieci w przedszkolach, oddziałach przedszkolnych w szkołach podstawowych i innych formach wychowania przedszkolnego</t>
  </si>
  <si>
    <t>Ochrona zdrowia</t>
  </si>
  <si>
    <t>Zwalczanie narkomanii</t>
  </si>
  <si>
    <t>Przeciwdziałanie alkoholizmowi</t>
  </si>
  <si>
    <t>Izby wytrzeźwień</t>
  </si>
  <si>
    <t>Zadania w zakresie przeciwdziałania przemocy w rodzinie</t>
  </si>
  <si>
    <t>Składki na ubezpieczenie zdrowotne</t>
  </si>
  <si>
    <t>Świadczenia społeczne</t>
  </si>
  <si>
    <t>Poradnie psychologiczno-pedagogiczne, w tym poradnie specjalistyczne</t>
  </si>
  <si>
    <t>Pomoc materialna dla uczniów o charakterze motywacyjnym</t>
  </si>
  <si>
    <t>Wspieranie rodziny</t>
  </si>
  <si>
    <t>Rodziny zastępcze</t>
  </si>
  <si>
    <t>Dotacja celowa z budżetu na finansowanie lub dofinansowanie zadań zleconych do realizacji pozostałym jednostkom nie zaliczanym do sektora finansów publicznych</t>
  </si>
  <si>
    <t>Oczyszczanie miast i wsi</t>
  </si>
  <si>
    <t>Dotacja celowa z budżetu na finansowanie lub dofinansowanie kosztów realizacji inwestycji i zakupów inwestycyjnych jednostek nie zaliczanych do sektora finansów publicznych</t>
  </si>
  <si>
    <t>Ochrona różnorodności biologicznej i krajobrazu</t>
  </si>
  <si>
    <t>Schroniska dla zwierząt</t>
  </si>
  <si>
    <t>Wpłaty gmin i powiatów na rzecz innych jednostek samorządu terytorialnego oraz związków gmin, związków powiatowo-gminnych, związków powiatów, związków metropolitalnych na dofinansowanie zadań bieżących</t>
  </si>
  <si>
    <t>Oświetlenie ulic, placów i dróg</t>
  </si>
  <si>
    <t>Pozostałe działania związane z gospodarką odpadami</t>
  </si>
  <si>
    <t>Dotacja celowa przekazana dla powiatu na zadania bieżące realizowane na podstawie porozumień (umów) między jednostkami samorządu terytorialnego</t>
  </si>
  <si>
    <t>Kultura i ochrona dziedzictwa narodowego</t>
  </si>
  <si>
    <t>Pozostałe zadania w zakresie kultury</t>
  </si>
  <si>
    <t>Domy i ośrodki kultury, świetlice i kluby</t>
  </si>
  <si>
    <t>Dotacja podmiotowa z budżetu dla samorządowej instytucji kultury</t>
  </si>
  <si>
    <t>Biblioteki</t>
  </si>
  <si>
    <t>Ochrona zabytków i opieka nad zabytkami</t>
  </si>
  <si>
    <t>Obiekty sportowe</t>
  </si>
  <si>
    <t>Zakup usług obejmujących wykonanie ekspertyz, analiz i opinii</t>
  </si>
  <si>
    <t>Zadania w zakresie kultury fizycznej</t>
  </si>
  <si>
    <t>II.</t>
  </si>
  <si>
    <t>III.</t>
  </si>
  <si>
    <t>Plan dochodów związanych z realizacją zadań z zakresu administracji rządowej</t>
  </si>
  <si>
    <t>Środki otrzymane z Rządowego Funduszu Polski Ład: Program Inwestycji Strategicznych na realizację zadań inwestycyjnych</t>
  </si>
  <si>
    <t>Świadczenia rodzinne, świadczenie z funduszu alimentacyjnego oraz składki na ubezpieczenia emerytalne i rentowe z ubezpieczenia społecznego</t>
  </si>
  <si>
    <t>Wpływy z części opłaty za zezwolenie na sprzedaż napojów alkoholowych w obrocie hurtowym</t>
  </si>
  <si>
    <t>Plan dotacji na zadania realizowane na podstawie porozumień (umów) między j.s.t.</t>
  </si>
  <si>
    <t>II. Wydatki na realizację zadań, realizowanych na podstawie porozumień lub umów z innymi j.s.t.</t>
  </si>
  <si>
    <t>Funkcjonowanie przystanków komunikacyjnych</t>
  </si>
  <si>
    <t>Treść</t>
  </si>
  <si>
    <t>Zestawienie planowanych kwot dotacji</t>
  </si>
  <si>
    <t xml:space="preserve">I. Dotacje dla jednostek sektora finansów publicznych </t>
  </si>
  <si>
    <t>Nazwa dotacji</t>
  </si>
  <si>
    <t>Kwota w zł</t>
  </si>
  <si>
    <t xml:space="preserve">Dotacja celowa </t>
  </si>
  <si>
    <t>Dotacja celowa</t>
  </si>
  <si>
    <t>Dotacja podmiotowa</t>
  </si>
  <si>
    <t xml:space="preserve">II. Dotacje dla jednostek spoza sektora finansów publicznych </t>
  </si>
  <si>
    <t xml:space="preserve">Dotacja podmiotowa        </t>
  </si>
  <si>
    <t>Dochody majątkowe 2024 rok</t>
  </si>
  <si>
    <t xml:space="preserve">BUDŻET  2024 -  DOCHODY  </t>
  </si>
  <si>
    <t>BUDŻET  2024 -  WYDATKI</t>
  </si>
  <si>
    <t>w tym zadania zlecone: 65 701,00</t>
  </si>
  <si>
    <t>Wpłaty gmin i powiatów na rzecz innych jednostek samorządu terytorialnego oraz związków gmin, związków powiatowo-gminnych lub związków powiatów na dofinansowanie zadań inwestycyjnych i zakupów inwestycyjnych</t>
  </si>
  <si>
    <t>Środki na dofinansowanie własnych inwestycji gmin, powiatów (związków gmin, związków powiatowo-gminnych, związków powiatów)</t>
  </si>
  <si>
    <t>w tym zadania zlecone: 5 516 142,00</t>
  </si>
  <si>
    <t>Wpływy z podatku rolnego, podatku leśnego, podatku od spadków i darowizn, podatku od czynności cywilno-prawnych oraz podatków i opłat lokalnych od osób fizycznych</t>
  </si>
  <si>
    <t>śrdoki z Funduszu Przeciwdziałania COVID-19 na finansowanie lub dofinansowanie kosztów realizacji inwestycji i zakupów inwestycyjnych związanych z przeciwdziałaniem COVID-19</t>
  </si>
  <si>
    <t>Wpływy ze sprzedaży wyrobów</t>
  </si>
  <si>
    <t>Programy polityki zdrowotnej</t>
  </si>
  <si>
    <t>Dotacja celowa przekazana z budżetu jednostki samorządu terytorialnego na dofinansowanie realizacji zadań w zakresie programów polityki zdrowotnej</t>
  </si>
  <si>
    <t xml:space="preserve">udzielanych z budżetu Gminy w 2024 roku </t>
  </si>
  <si>
    <t>I. Dochody</t>
  </si>
  <si>
    <t>II. Wydatki</t>
  </si>
  <si>
    <t>Wydatki poniesione ze środków z Rządowego Funduszu Polski Ład: Program Inwestycji Strategicznych na realizację zadań inwestycyjnych</t>
  </si>
  <si>
    <t xml:space="preserve">w 2024 roku </t>
  </si>
  <si>
    <t>Śrdoki z Funduszu Przeciwdziałania COVID-19 na finansowanie lub dofinansowanie kosztów realizacji inwestycji i zakupów inwestycyjnych związanych z przeciwdziałaniem COVID-19</t>
  </si>
  <si>
    <t>Dotacja celowa przekazana z budżetu na finansowaanie lub dofinansowanie realizacji zadań inwestycyjnych obiektów zabytkowych jednostkom niezaliczanym do sektora finansów publicznych</t>
  </si>
  <si>
    <t>Pozostałe podatki na rzecz budżetów jednostek saomorządów terytorialnych</t>
  </si>
  <si>
    <t>2006-2010</t>
  </si>
  <si>
    <t>Jednostka  organizacyjna  realizująca  program / zadanie</t>
  </si>
  <si>
    <t>Okres realizacji programu/zadania</t>
  </si>
  <si>
    <t>Łączne  nakłady  finansowe  w zł</t>
  </si>
  <si>
    <t>Budowa zbiornika retencyjnego na działce nr ewid. 2/2, obręb Rosnowo - Szreniawa</t>
  </si>
  <si>
    <t>Urząd Gminy Komorniki</t>
  </si>
  <si>
    <t>2023-2024</t>
  </si>
  <si>
    <t>Wpłata na rzecz Związku Powiatowo-Gminnego "Wielkopolski Transport Regionalny" dotycząca zakupu 25 autobusów niskoemisyjnych</t>
  </si>
  <si>
    <t>Przygotowanie dokumentacji projektowej ścieżki rowerowej w ul. Polnej w Komornikach i ul. Komornickiej w Głuchowie i jej budowa (droga powiatowa)</t>
  </si>
  <si>
    <t>2021-2024</t>
  </si>
  <si>
    <t>Rozbudowa drogi powiatowej nr 2390P Komorniki - Łęczyca w m. Wiry poprzez wykonanie drogi dla pieszych, jako odrębnego przejścia pod linią kolejową nr 357 Sulechów - Luboń</t>
  </si>
  <si>
    <t>Budowa ul. Promykowej w Wirach</t>
  </si>
  <si>
    <t>2018-2024</t>
  </si>
  <si>
    <t>Wspieranie strategii niskoemisyjnej na terenie Gminy Komorniki poprzez budowę węzła przesiadkowgo w Szreniawie oraz zakup autobusu</t>
  </si>
  <si>
    <t>2017-2025</t>
  </si>
  <si>
    <t>Budowa, przebudowa oraz remont drogi gminnej                    nr 326063P stanowiącej nieprzerwany ciąg drogowy - ul. 1 Maja w Rosnówku do ul. Bukowej w Walerianowie, Gmina Komorniki</t>
  </si>
  <si>
    <t>2019-2024</t>
  </si>
  <si>
    <t>Budowa ul.Polnej w Chomęcicach etap II</t>
  </si>
  <si>
    <t>2022-2025</t>
  </si>
  <si>
    <t>Budowa ul. Miodowej w Plewiskach</t>
  </si>
  <si>
    <t>Budowa ul. Truskawowej w Komornikach</t>
  </si>
  <si>
    <t>Budowa ul. Wiosennej i ul. Pogodnej w Komornikach</t>
  </si>
  <si>
    <t>Budowa drogi łączącej ul. Towarową w Komornikach                   z ul. Szkolną w Plewiskach</t>
  </si>
  <si>
    <t>Budowa ul. Wąskiej w Komornikach</t>
  </si>
  <si>
    <t>Budowa ul. Stawnej w Głuchowie</t>
  </si>
  <si>
    <t>Budowa ul. Szkolnej w Chomęcicach</t>
  </si>
  <si>
    <t>Przebudowa odcinka ul. Głuchowskiej w Chomęcicach</t>
  </si>
  <si>
    <t>Budowa ul. Cichej i Wschodniej w Plewiskach</t>
  </si>
  <si>
    <t>Budowa ul. Wiosennej w Plewiskach</t>
  </si>
  <si>
    <t>Przebudowa ul. Kolejowej w Plewiskach, od wiaduktu kolejowego do skrzyżowania z ulicą Grunwaldzką</t>
  </si>
  <si>
    <t>2023-2025</t>
  </si>
  <si>
    <t>Budowa ul. Zimowej w Plewiskach</t>
  </si>
  <si>
    <t>Budowa odcinków ul. Kminkowej i Szałwiowej                       w Plewiskach</t>
  </si>
  <si>
    <t>Budowa ul. Stanisława Moniuszki i ul. Fryderyka Chopina w Szreniawie</t>
  </si>
  <si>
    <t>Rozudowa ul. Brzozowej w Walerianowie</t>
  </si>
  <si>
    <t>Budowa ul. Podleśnej w Wirach</t>
  </si>
  <si>
    <t>Wykup gruntów i nieruchomości</t>
  </si>
  <si>
    <t>Zabezpieczenia ppoż budynku w Wirach przy ulicy Szreniawskiej 6</t>
  </si>
  <si>
    <t>Budowa budynku komunalnego w Plewiskach</t>
  </si>
  <si>
    <t>2022-2024</t>
  </si>
  <si>
    <t>Plany zagospodarowania przestrzennego - Pozyskiwanie terenów na cele inwestycyjne</t>
  </si>
  <si>
    <t>Zakupy inwestycyjne dla Urzędu Gminy</t>
  </si>
  <si>
    <t>Zakupy inwestycyjne OC</t>
  </si>
  <si>
    <t>Budowa systemu monitoringu Gminy Komorniki</t>
  </si>
  <si>
    <t>2015-2026</t>
  </si>
  <si>
    <t>Budowa Szkoły Podstawowej w Wirach</t>
  </si>
  <si>
    <t>2016-2024</t>
  </si>
  <si>
    <t>Budowa Sali gimnastycznej przy rozbudowywanej Szkole Podstawowej w Chomęcicach</t>
  </si>
  <si>
    <t>Rozbudowa Szkoły Podstawowej Nr 2 w Plewiskach</t>
  </si>
  <si>
    <t>Budowa instalacji fotowoltaicznej na budynku Szkoły Podstawowej nr 1 w Komornikach</t>
  </si>
  <si>
    <t>Zakupy inwestycyjne Szkoła Podstawowa Nr 1                         w Komornikach</t>
  </si>
  <si>
    <t xml:space="preserve">Budowa nowych odcinków sieci energetycznej                     w gminie </t>
  </si>
  <si>
    <t>Dofinansowanie kosztów inwestycji proekologicznych (wymiana źródeł ciepła)</t>
  </si>
  <si>
    <t>Dofinansowanie kosztów inwestycji proekologicznych (deszczówka)</t>
  </si>
  <si>
    <t>Budowa Domu Kultury w Szreniawie</t>
  </si>
  <si>
    <t>Przebudowa i adaptacja budynku "Organistówka"                             w Komornikach przy ul. Kościelnej</t>
  </si>
  <si>
    <t>Budowa skateparku w Komornikach</t>
  </si>
  <si>
    <t>Budowa instalacji fotowoltaicznej oraz popmy ciepła w Gminnym Ośrodku Sportu i Rekreacji                                          w Komornikach</t>
  </si>
  <si>
    <t>Budowa Pływalni w Plewiskach</t>
  </si>
  <si>
    <t>2019-2026</t>
  </si>
  <si>
    <t>Wysokość  wydatków                         w zł  w 2024r.</t>
  </si>
  <si>
    <t>Wydatki majątkowe - zadania inwestycyjne w 2024 roku</t>
  </si>
  <si>
    <t>Budowa kanalizacji sanitarnej w ul. Piastowskiej                       w Komornikach</t>
  </si>
  <si>
    <t xml:space="preserve">Budowa ścieżki rowerowej Komorniki – Plewiska </t>
  </si>
  <si>
    <t>Poprawa odwodnienia na drodze powiatowej 2390P Komorniki-Łęczyca w m.Wiry w okolicy dz.nr 9/9, obręb Wiry</t>
  </si>
  <si>
    <t>Budowa drogi ul. Gerwazego, Ks.Robaka, Jankiela, Horedszki w Komornikach</t>
  </si>
  <si>
    <t>Budowa ul. Lubońskiej w Komornikach</t>
  </si>
  <si>
    <t>2024-2025</t>
  </si>
  <si>
    <t>Budowa ul. Wrzosowej w Plewiskach</t>
  </si>
  <si>
    <t>Budowa chodnika na ul. Bukowej w Walerianowie - ostatni odcinek</t>
  </si>
  <si>
    <t>Budowa ul. Żabikowskiej w Wirach - etap I</t>
  </si>
  <si>
    <t>Rozbudowa ul. Kościelnej (odcinek Pocztowa - Poznańska) w m. Komorniki w zakresie budowy chodnika</t>
  </si>
  <si>
    <t>2014-2026</t>
  </si>
  <si>
    <t>Remont dachu budynku Szkoły Podstawowej nr 2 w Komornikach</t>
  </si>
  <si>
    <t>Zakup samochodu dla Straży Gminnej</t>
  </si>
  <si>
    <t>Budowa leśnej ścieżki edukacyjnej na terenie WPN                    w Komornikach</t>
  </si>
  <si>
    <t>Budowa oświetlenia kortów w Wirach</t>
  </si>
  <si>
    <t xml:space="preserve">Przebudowa hali sportowej przy ulicy Jeziornej                        w Komornikach </t>
  </si>
  <si>
    <t>Budowa i zadaszenie boisk w Szreniawie</t>
  </si>
  <si>
    <t>Budowa indywidualnego systemu ogrzewania w mieszkaniach komunalnych w budynku  w Wirach przy ul. Szreniawskiej 6</t>
  </si>
  <si>
    <t xml:space="preserve">wykonanie garażu/magazynu na potrzeby Urzędu </t>
  </si>
  <si>
    <t>Cyberbezpieczny samorząd” (zabezpieczenie systemu informatycznego całego Urzędu przed wszelkimi atakami z cyberprzestrzeni)</t>
  </si>
  <si>
    <t>Remont budynku zabytkowej Szkoły w Chomęcicach</t>
  </si>
  <si>
    <t>Remont elewacji Kościoła Parafialnego pw. Św. Andrzeja Apostoła w Komornikach</t>
  </si>
  <si>
    <t>Remont dachu i elewacji zabytkowej plebanii w parafii pw. Św. Andrzeja Apostoła w Komornikach</t>
  </si>
  <si>
    <t>Odbudowa trzech mostków na Nadwarciańskiem Szlaku Rowerowym na terenie Wielkopolskiego Parku Narodowego</t>
  </si>
  <si>
    <t>2020-2026</t>
  </si>
  <si>
    <t>KOWR dokumentacja projektowa (Zielone Wzgórze Komorniki)</t>
  </si>
  <si>
    <t>Zakupy inwestycyjne Szkoła Podstawowa w Chomęcicach</t>
  </si>
  <si>
    <t>Cyberbezpieczny samorząd (zabezpieczenie systemu informatycznego całego Urzędu przed wszelkimi atakami z cyberprzestrzeni)</t>
  </si>
  <si>
    <t>Wydatki majątkowe 2024 rok</t>
  </si>
  <si>
    <t>Dochody zlecone 2024 rok</t>
  </si>
  <si>
    <t>2014-2025</t>
  </si>
  <si>
    <t>Zakup wyposażenia do budowanej Sali gimnastycznej przy rozbudowywanej Szkole Podstawowej w Chomęcicach</t>
  </si>
  <si>
    <t xml:space="preserve">I. Plan wydatków na realizację zadań z zakresu administracji rządowej </t>
  </si>
  <si>
    <t>Budowa ul. Słonecznej w Chomęcicach</t>
  </si>
  <si>
    <t>Budowa ścieżki rekreacyjnej przy boisku w Rosnówku</t>
  </si>
  <si>
    <t>Lodowisko w Szreniawie</t>
  </si>
  <si>
    <t>Rekreacyjny Park Rodzinny "Nad Wirynką" etap II</t>
  </si>
  <si>
    <t>Budowa górki saneczkowej</t>
  </si>
  <si>
    <t>Tor dla rowerzystów i rolkarzy - pumptruck w Łęczycy</t>
  </si>
  <si>
    <t>Rewitalizacja terenu z wyspą w Chomęcicach - etap I</t>
  </si>
  <si>
    <t>Wydatki inwestycyjne dotyczące obiektów zabytkowych będących w użytkowaniu jednostek budżetowych</t>
  </si>
  <si>
    <t>zwiększenia</t>
  </si>
  <si>
    <t>zmniejszenia</t>
  </si>
  <si>
    <t>Plan                  po zmianach</t>
  </si>
  <si>
    <t>Zestawienie planu dochodów otrzymanych z Funduszu Pomocy</t>
  </si>
  <si>
    <t>i planu wydatków na realizację zadań dotyczących pomocy obywatelom Ukrainy</t>
  </si>
  <si>
    <t>Środki z Funduszu Pomocy na finansowanie lub dofinansowanie zadań bieżących w zakresie pomocy obywatelom Ukrainy</t>
  </si>
  <si>
    <t>Pomoc dla cudzoziemców</t>
  </si>
  <si>
    <t>Wynagrodzenia i uposażenia wypłacane w związku z pomocą obywatelom Ukrainy</t>
  </si>
  <si>
    <t>Świadczenia związane z udzielaniem pomocy obywatelom Ukrainy</t>
  </si>
  <si>
    <t>Zakup towarów (w szczególności materiałów, leków, żywności) w związku                     z pomocą obywatelom Ukrainy</t>
  </si>
  <si>
    <t>Składki i inne pochodne od wynagrodzeń pracowników wypłacanych w związku z pomocą obywatelom Ukrainy</t>
  </si>
  <si>
    <t>Zakup towarów (w szczególności materiałów, leków, żywności) w związku z pomocą obywatelom Ukrainy</t>
  </si>
  <si>
    <t xml:space="preserve">Dotacja celowa z budżetu jednostki samorządu terytorialnego, udzielona w trybie art.. 21 ustawy na finansowanie lub dofinansowanie zadań zleconych do realizacji organizacjom prowadzącym działalność pożytku publicznego </t>
  </si>
  <si>
    <t>Środki z Funduszu Przeciwdziałania COVID-19 na finansowaanie lub dofinansowanie realizacji zadań związanych z przeciwdziałaniem COVID-19</t>
  </si>
  <si>
    <t>Świadczenia społeczne wypłacane obywatelom Ukrainy przebywającym na terytorium RP</t>
  </si>
  <si>
    <t>Realizacja zadań wymagających stosowania specjalnej organizacji nauki i metod pracy dla dzieci i młodzieży w szkołach podstawowych</t>
  </si>
  <si>
    <t>Rozbudowa skrzyżowania ul. Fabianowskiej i ul. Skrytej w Plewiskch-budowa sygnalizacji świetlnej</t>
  </si>
  <si>
    <t>Zapewnienie uczniom prawa do bezpłatnego dostępu do podręczników, materiałów edukacyjnychl lub materiałów ćwiczeniowych</t>
  </si>
  <si>
    <t>Wpływy ze zwrotów niewykorzystanych dotacji oraz płatności</t>
  </si>
  <si>
    <t>Środki otrzymane z państwowych funduszy celowych na realizację zadań bieżących jednostek sektora finansów publicznych</t>
  </si>
  <si>
    <t>Zwrot niewykorzystanych dotacji oraz płatności</t>
  </si>
  <si>
    <t>Końcowe rozliczenie inwestorstwa zastępczego w ramach zadania inwestycyjnego pn. "Budowa zintegrowanego węzła transportowego Grunwaldzka w miejscu przejazdu przez linię kolejową E20"</t>
  </si>
  <si>
    <t>Wpływy ze zwrotów dotacji oraz płatności wykorzystanych niezgodnie z przeznaczeniem lub wykorzystanych z naruszeniem procedur, o których mowa w art. 184 ustawy, pobranych nienależnie lub w nadmiernej wysokości</t>
  </si>
  <si>
    <t>Różne jednostki obsługi gospodarki mieszkaniowej</t>
  </si>
  <si>
    <t>Wpływy z opłat za trwały zarzad, użytkowanie i służebności</t>
  </si>
  <si>
    <t>Wpływy z rozliczeń/zwrotów z lat ubiegłych</t>
  </si>
  <si>
    <t>Wpływy z opłat za koncesje i licencjee</t>
  </si>
  <si>
    <t>Środki na dofinansowanie własnych zadań bieżących gmin, powiatów (związków gmin, związków powiatowo-gminnych, związków powiatów), samorządów województw pozyskane z innych źródeł</t>
  </si>
  <si>
    <t>Karta Dużej Rodziny</t>
  </si>
  <si>
    <t>Dochody jednostek samorządu terytorialnego związane z realizacją zadań z zakresu administracji rządowej oraz innych zadań zleconych ustawami</t>
  </si>
  <si>
    <t>Dotacja celowa w ramach programów finansowanych z udziałem środków europejskich oraz środków, o których mowa w art. 5 ust. 3 pkt 5 lit. a i b ustawy, lub płatności w ramach budżetu środków europejskich, realizowanych przez jednostki samorządu terytorialnego</t>
  </si>
  <si>
    <t>Środki otrzymane od pozostałych jednostek zaliczanych do sektora finansów publicznych na realizację zadań bieżących jednostek zaliczanych do sektora finansów publicznych</t>
  </si>
  <si>
    <t>Wybory do rad gmin, rad powiatów i sejmików województw, wybory wójtów, burmistrzów i prezydentów miast oraz referennda gminne, powiatowe i wojewódzkie</t>
  </si>
  <si>
    <t>Wynagrodzenia nauczycieli wypłacane w związku z pomocą obywatelom Ukrainy</t>
  </si>
  <si>
    <t>w tym zadania zlecone: 898,00</t>
  </si>
  <si>
    <t>Dotacja celowa z budżetu dla pozostałych jednostek zaliczanych do sektora finansów publicznych</t>
  </si>
  <si>
    <t>Pozostałe odsetki</t>
  </si>
  <si>
    <t>Zakup usług związanych z pomocą obywatelom Ukrainy</t>
  </si>
  <si>
    <t>Zakupy inwestycyjne Szkoła Podstawowa Nr 2                        w Komornikach</t>
  </si>
  <si>
    <t>Budowa ul. Piastowskiej w Komornikach</t>
  </si>
  <si>
    <t>WYDATKI ZLECONE 2024</t>
  </si>
  <si>
    <t>Wpływy z opłat za zezwolenia, akredytacje oraz opłaty ewidencyjne, w tym częstotliwość</t>
  </si>
  <si>
    <t>Pozostałe podatki na rzecz budżetów jednostek samorządów terytorialnych</t>
  </si>
  <si>
    <t>w tym zadania zlecone: 70 145,69</t>
  </si>
  <si>
    <t xml:space="preserve">   I. Plan dotacji na realizację zadań z zakresu administracji rządowej </t>
  </si>
  <si>
    <t xml:space="preserve"> Przychody i rozchody  budżetu  na  2024  rok</t>
  </si>
  <si>
    <t>I . Przychody</t>
  </si>
  <si>
    <t>Paragraf</t>
  </si>
  <si>
    <t>Przychody z zaciągniętych kredytów i pożyczek na rynku krajowym</t>
  </si>
  <si>
    <t xml:space="preserve"> II. Rozchody</t>
  </si>
  <si>
    <t>Spłaty  otrzymanych  krajowych  pożyczek  i  kredytów</t>
  </si>
  <si>
    <t xml:space="preserve">Wykup innych papierów wartościowych </t>
  </si>
  <si>
    <t>Zestawienie dochodów planowanych z wpływów</t>
  </si>
  <si>
    <t xml:space="preserve">z tytułu opłat i kar, oraz planowanych wydatków zgodnie </t>
  </si>
  <si>
    <t xml:space="preserve">z art. 402 ust. 4-6 ustawy Prawo ochrony środowiska w 2024 roku </t>
  </si>
  <si>
    <t>Nazwa</t>
  </si>
  <si>
    <t xml:space="preserve"> </t>
  </si>
  <si>
    <t>0690</t>
  </si>
  <si>
    <t xml:space="preserve">  </t>
  </si>
  <si>
    <t xml:space="preserve">         </t>
  </si>
  <si>
    <t>Dotacje celowe przekazane dla powiatu</t>
  </si>
  <si>
    <t xml:space="preserve">na zadania bieżące realizowane na </t>
  </si>
  <si>
    <t xml:space="preserve">podstawie porozumień (umów) między j.s.t. </t>
  </si>
  <si>
    <t>I. Środki na projekty i programy finansowane z budżetu UE  na 2024r.</t>
  </si>
  <si>
    <t xml:space="preserve">Nazwa </t>
  </si>
  <si>
    <t>Dz.</t>
  </si>
  <si>
    <t>Rozdz.</t>
  </si>
  <si>
    <t>Program Nr 1</t>
  </si>
  <si>
    <t>Dotacja celowa w ramach programów finansowanych z udziałem środków europejskich oraz środków, o których mowa w art.5 ust.3 pkt 5 lit. a i b ustawy, lub płatności w ramach budżetu środków europejskich, realizowanych przez jednostki samorządu terytorialnego</t>
  </si>
  <si>
    <t>II. Wydatki na projekty i programy ze środków z budżetu UE na 2024r.</t>
  </si>
  <si>
    <t>Jednostka realizująca program</t>
  </si>
  <si>
    <t>Środki z budżetu Unii Europejskiej</t>
  </si>
  <si>
    <t>Nazwa projektu</t>
  </si>
  <si>
    <t>Nazwa i cel programu</t>
  </si>
  <si>
    <t>Urząd Gminy</t>
  </si>
  <si>
    <t xml:space="preserve">Priorytet II: zaawansowane usługi cyfrowe, </t>
  </si>
  <si>
    <t>Komorniki</t>
  </si>
  <si>
    <t>Działanie 2.2-Wzmocnienie krajowego systemu cyberbezpieczeństwa</t>
  </si>
  <si>
    <t>Nazwa projektu:</t>
  </si>
  <si>
    <t>Cyberbezpieczny samorząd</t>
  </si>
  <si>
    <t>Cel programu:</t>
  </si>
  <si>
    <t>1.Zwiększenie poziomu bezpieczeństwa jst</t>
  </si>
  <si>
    <t>2. Uświadomienie zagrożeń w "cyberprzestrzeni"</t>
  </si>
  <si>
    <t xml:space="preserve">Zestawienie planu dochodów otrzymanych z Funduszu Przecwidziałania COVID-19 </t>
  </si>
  <si>
    <t xml:space="preserve">i planu wydatków na realizację programów finansowanych z Funduszu Przecwidziałania COVID-19 </t>
  </si>
  <si>
    <t>Środki budżetowe jednostek pomocniczych gminy</t>
  </si>
  <si>
    <t>Klasyfikacja  budżetowa</t>
  </si>
  <si>
    <t>Sołectwo Chomęcice</t>
  </si>
  <si>
    <t>Sołectwo Głuchowo</t>
  </si>
  <si>
    <t>Sołectwo Komorniki</t>
  </si>
  <si>
    <t>Sołectwo Łęczyca</t>
  </si>
  <si>
    <t>Sołectwo Plewiska</t>
  </si>
  <si>
    <t>Sołectwo Rosnówko</t>
  </si>
  <si>
    <t>Sołectwo Szreniawa</t>
  </si>
  <si>
    <t>Sołectwo Wiry</t>
  </si>
  <si>
    <t>RAZEM</t>
  </si>
  <si>
    <t xml:space="preserve">OGÓLNA KWOTA:     </t>
  </si>
  <si>
    <t xml:space="preserve">Wolne środki, o których mowa w art. 217 ust. 2 pkt 6 ustawy  </t>
  </si>
  <si>
    <t xml:space="preserve">Wydatki w dziale 801 są większe o środki z 2023 roku w kwocie 25 594,08 zł </t>
  </si>
  <si>
    <t>Dotacja celowa w ramach programów finansowanych z udziałem środków europejskich oraz środków, o których mowa w art.5 ust.1 pkt. 3 oraz ust. 3 pkt 5 i 6 ustawy, lub płatności w ramach budżetu środków europejskich, z wyłączeniem dochodów klasyfikowanych w paragrafie 625</t>
  </si>
  <si>
    <t>Wybory do Parlamentu Europejskiego</t>
  </si>
  <si>
    <t>Część rozwojowa subwencji ogólnej dla jednostek samorządu terytorialnego</t>
  </si>
  <si>
    <t>Wpływy z tytułu kar i odszkodowań wynikających z umów</t>
  </si>
  <si>
    <t>Środki otrzymane od pozostałych jednostek zaliczanych do sektora finansów publicznych na realizacje zadań bieżących jednostek zaliczanych do sektora finansów publicznych</t>
  </si>
  <si>
    <t>Przychody jednostek samorządu terytorialnego z niewykorzystanych środków pieniężnych na rachunku bieżącym budżetu, wynikających                z rozliczenia dochodów i wydatków nimi finansowanych związanych ze szczególnymi zasadami wykonywania budżetu określonymi w odrębnych ustawach (GKRPA 327 956,79 zł; Fundusz Pomocy 25 594,08; Fundusz p/COVID-19 0,65)</t>
  </si>
  <si>
    <t>Program Nr 2</t>
  </si>
  <si>
    <t>Fundusze Europejskie na rozwój cyfrowy 2021-2027</t>
  </si>
  <si>
    <t xml:space="preserve">Wydatki w dziale 921 są większe o środki z 2023 roku w kwocie 0,65 zł </t>
  </si>
  <si>
    <t>Wydatki na zakup i objęcie akcji i udziałów</t>
  </si>
  <si>
    <t xml:space="preserve">Modernizacja odcinka ul. Bukowej w Walerianowie </t>
  </si>
  <si>
    <t>Zakup kosy spalinowej dla Państowej Straży Pożarnej Jednostki Ratowniczo-Gaśniczej nr 2 w Poznaniu</t>
  </si>
  <si>
    <t>Poprawa jakości oświetlenia drogowego w Gminie Komorniki</t>
  </si>
  <si>
    <t>2023-2026</t>
  </si>
  <si>
    <t>Modernizacja podłóg w Przedszkolu Króla Maciusia I w Komornikach</t>
  </si>
  <si>
    <t>Budowa łącznika przy Szkole Podstawowej nr 2 w Plewiskach</t>
  </si>
  <si>
    <t>Budowa nowej siedziby OSP, Policji i Pogotowia Ratunkowego w Plewiskach</t>
  </si>
  <si>
    <t>Budowa placu zabaw przy ul. Malinowej w Komornikach</t>
  </si>
  <si>
    <t>2024-2026</t>
  </si>
  <si>
    <t>2024-2027</t>
  </si>
  <si>
    <t>Modernizacja budynków pofolwarcznych w Wirach</t>
  </si>
  <si>
    <t>Zwiększenie kompetencji kadry przedszkoli i realizacja zajęć dodatkowych, kompensacyjnych i wyrównujących szanse dzieci z terenu Gminy Komorniki</t>
  </si>
  <si>
    <t>Zintegrowany System Informatyczny do zarządzania Gminą Komorniki w prywatnej chmurze obliczeniowej</t>
  </si>
  <si>
    <t>Wpłaty jednostek na państwowy fundusz celowy na finansowanie lub dofinansowanie zadań inwestycyjnych</t>
  </si>
  <si>
    <t>Opracowanie projektu technicznego modernizacji budynku Przedszkola w Wirach</t>
  </si>
  <si>
    <t>Opłaty na rzecz budżetu państwa</t>
  </si>
  <si>
    <t>Wniesienie wkładów do PUK Spółki z o.o.                                        w Komornikach</t>
  </si>
  <si>
    <t>Fundusze Europejskie dla Wielkopolski 2021-2027</t>
  </si>
  <si>
    <t xml:space="preserve">Zwiększenie kompetencji kadry przedszkoli i realizacja zajęć </t>
  </si>
  <si>
    <t xml:space="preserve">dodatkowych, kompensacyjnych i wyrównujących szanse dzieci </t>
  </si>
  <si>
    <t>z terenu Gminy Komorniki</t>
  </si>
  <si>
    <t xml:space="preserve">1. Zwiększenie dostępności do edukacji przedszkolnej </t>
  </si>
  <si>
    <t xml:space="preserve">2. Rozszerzenie oferty placówek o dodatkowe zajęcia zwiększające </t>
  </si>
  <si>
    <t>3. Doposażenie placówek</t>
  </si>
  <si>
    <t>Komendy wojewódzkie Państwowej Straży Pożarnej</t>
  </si>
  <si>
    <t>Program Nr 3*</t>
  </si>
  <si>
    <t>Program Nr 4**</t>
  </si>
  <si>
    <t>Program Nr 5***</t>
  </si>
  <si>
    <t>Program Nr 6****</t>
  </si>
  <si>
    <t>*</t>
  </si>
  <si>
    <t>Dochody w ramach  programu nr 3 przewidziane są do realizacji w 2025 roku</t>
  </si>
  <si>
    <t>**</t>
  </si>
  <si>
    <t>***</t>
  </si>
  <si>
    <t>****</t>
  </si>
  <si>
    <t>Wydatki programu nr 4 zostały zrealizowane w 2023 roku</t>
  </si>
  <si>
    <r>
      <t>Nazwa programu nr 1*</t>
    </r>
    <r>
      <rPr>
        <sz val="11"/>
        <color theme="1"/>
        <rFont val="Calibri"/>
        <family val="2"/>
        <charset val="238"/>
        <scheme val="minor"/>
      </rPr>
      <t>:</t>
    </r>
  </si>
  <si>
    <t>Nazwa programu nr 2**:</t>
  </si>
  <si>
    <t>Nazwa programu nr 3***:</t>
  </si>
  <si>
    <t xml:space="preserve">    szanse edukacyjne dzieci</t>
  </si>
  <si>
    <t xml:space="preserve"> bezpieczeństwa informacji</t>
  </si>
  <si>
    <t xml:space="preserve">3. podniesienie wiedzy i kompetencji personelu jst w zakrsie </t>
  </si>
  <si>
    <t>środki są większe od dochodów o wkład własny, tj. o 161 904,00 zł</t>
  </si>
  <si>
    <t>środki są większe od dochodów o wkład własny, tj. o 52 030,00 zł</t>
  </si>
  <si>
    <t>środki są większe od dochodów o wkład własny, tj. o 30 000,00 zł</t>
  </si>
  <si>
    <t xml:space="preserve">Zintegrowany System Informatyczny do zarządzania Gminą Komorniki </t>
  </si>
  <si>
    <t xml:space="preserve">w prywatnej chmurze obliczeniowej </t>
  </si>
  <si>
    <t>1. stworzenie zintegrowanego systemu informatycznego do</t>
  </si>
  <si>
    <t xml:space="preserve">2. zwiększenie możliwości korzystania z szerokiego zakresu usług </t>
  </si>
  <si>
    <t xml:space="preserve">    publicznych dostępnych drogą elektroniczną </t>
  </si>
  <si>
    <t xml:space="preserve">   zarządzania Gminą Komorniki w  prywatnej chmurze obliczeniowej</t>
  </si>
  <si>
    <t xml:space="preserve">3. rozszerzenie zdefiniowanych procedur obsługi i standardów </t>
  </si>
  <si>
    <t xml:space="preserve">    informatycznych</t>
  </si>
  <si>
    <t>Wydatki programu nr 5 zostały zrealizowane w 2022 roku</t>
  </si>
  <si>
    <t xml:space="preserve">Wydatki programu nr 6 zostały zrealizowane w latach 2021-2022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</si>
</sst>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&quot;zł&quot;* #,##0.00_);_(&quot;zł&quot;* \(#,##0.00\);_(&quot;zł&quot;* &quot;-&quot;??_);_(@_)"/>
    <numFmt numFmtId="165" formatCode="_(* #,##0.00_);_(* \(#,##0.00\);_(* &quot;-&quot;??_);_(@_)"/>
    <numFmt numFmtId="166" formatCode="_-* #,##0.00&quot; zł&quot;_-;\-* #,##0.00&quot; zł&quot;_-;_-* \-??&quot; zł&quot;_-;_-@_-"/>
    <numFmt numFmtId="167" formatCode="[$-415]General"/>
    <numFmt numFmtId="168" formatCode="[$-415]0%"/>
    <numFmt numFmtId="169" formatCode="#,##0.00&quot; &quot;[$zł-415];[Red]&quot;-&quot;#,##0.00&quot; &quot;[$zł-415]"/>
    <numFmt numFmtId="170" formatCode="000"/>
    <numFmt numFmtId="171" formatCode="00000"/>
    <numFmt numFmtId="172" formatCode="0000"/>
  </numFmts>
  <fonts count="11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b/>
      <i/>
      <sz val="16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8"/>
      <name val="Arial1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b/>
      <i/>
      <u/>
      <sz val="11"/>
      <color indexed="8"/>
      <name val="Arial"/>
      <family val="2"/>
      <charset val="238"/>
    </font>
    <font>
      <sz val="10"/>
      <name val="Arial CE"/>
      <charset val="238"/>
    </font>
    <font>
      <b/>
      <sz val="15"/>
      <color indexed="62"/>
      <name val="Czcionka tekstu podstawowego"/>
      <family val="2"/>
      <charset val="238"/>
    </font>
    <font>
      <b/>
      <sz val="13"/>
      <color indexed="62"/>
      <name val="Czcionka tekstu podstawowego"/>
      <family val="2"/>
      <charset val="238"/>
    </font>
    <font>
      <b/>
      <sz val="11"/>
      <color indexed="62"/>
      <name val="Czcionka tekstu podstawowego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3"/>
      <color theme="1"/>
      <name val="Times New Roman"/>
      <family val="1"/>
      <charset val="238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4"/>
      <name val="Calibri"/>
      <family val="2"/>
      <charset val="238"/>
    </font>
    <font>
      <sz val="14"/>
      <name val="Calibri"/>
      <family val="2"/>
      <charset val="238"/>
    </font>
    <font>
      <b/>
      <i/>
      <sz val="14"/>
      <name val="Calibri"/>
      <family val="2"/>
      <charset val="238"/>
    </font>
    <font>
      <b/>
      <sz val="14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0"/>
      <name val="Calibri"/>
      <family val="2"/>
      <charset val="238"/>
    </font>
    <font>
      <sz val="12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Times New Roman CE"/>
      <family val="1"/>
      <charset val="238"/>
    </font>
    <font>
      <sz val="11"/>
      <name val="Times New Roman CE"/>
      <family val="1"/>
      <charset val="238"/>
    </font>
    <font>
      <sz val="10"/>
      <color rgb="FFFF0000"/>
      <name val="Times New Roman CE"/>
      <family val="1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4"/>
      <color theme="1"/>
      <name val="Calibri"/>
      <family val="2"/>
      <charset val="238"/>
    </font>
    <font>
      <b/>
      <sz val="13"/>
      <name val="Calibri"/>
      <family val="2"/>
      <charset val="238"/>
      <scheme val="minor"/>
    </font>
    <font>
      <b/>
      <sz val="13"/>
      <name val="Calibri"/>
      <family val="2"/>
      <charset val="238"/>
    </font>
    <font>
      <b/>
      <sz val="13"/>
      <name val="Times New Roman"/>
      <family val="1"/>
      <charset val="238"/>
    </font>
    <font>
      <b/>
      <sz val="11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3"/>
      <color rgb="FFFF0000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</font>
    <font>
      <u/>
      <sz val="10"/>
      <color theme="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7"/>
        <bgColor indexed="2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</patternFill>
    </fill>
    <fill>
      <patternFill patternType="solid">
        <fgColor indexed="22"/>
        <bgColor indexed="31"/>
      </patternFill>
    </fill>
    <fill>
      <patternFill patternType="solid">
        <fgColor indexed="14"/>
      </patternFill>
    </fill>
    <fill>
      <patternFill patternType="solid">
        <fgColor indexed="42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2">
    <xf numFmtId="0" fontId="0" fillId="0" borderId="0"/>
    <xf numFmtId="0" fontId="2" fillId="0" borderId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2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3" fillId="9" borderId="0" applyNumberFormat="0" applyBorder="0" applyAlignment="0" applyProtection="0"/>
    <xf numFmtId="0" fontId="33" fillId="3" borderId="0" applyNumberFormat="0" applyBorder="0" applyAlignment="0" applyProtection="0"/>
    <xf numFmtId="0" fontId="33" fillId="10" borderId="0" applyNumberFormat="0" applyBorder="0" applyAlignment="0" applyProtection="0"/>
    <xf numFmtId="0" fontId="33" fillId="9" borderId="0" applyNumberFormat="0" applyBorder="0" applyAlignment="0" applyProtection="0"/>
    <xf numFmtId="0" fontId="33" fillId="11" borderId="0" applyNumberFormat="0" applyBorder="0" applyAlignment="0" applyProtection="0"/>
    <xf numFmtId="0" fontId="3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4" fillId="12" borderId="0" applyNumberFormat="0" applyBorder="0" applyAlignment="0" applyProtection="0"/>
    <xf numFmtId="0" fontId="34" fillId="3" borderId="0" applyNumberFormat="0" applyBorder="0" applyAlignment="0" applyProtection="0"/>
    <xf numFmtId="0" fontId="34" fillId="10" borderId="0" applyNumberFormat="0" applyBorder="0" applyAlignment="0" applyProtection="0"/>
    <xf numFmtId="0" fontId="34" fillId="9" borderId="0" applyNumberFormat="0" applyBorder="0" applyAlignment="0" applyProtection="0"/>
    <xf numFmtId="0" fontId="34" fillId="12" borderId="0" applyNumberFormat="0" applyBorder="0" applyAlignment="0" applyProtection="0"/>
    <xf numFmtId="0" fontId="3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6" borderId="0" applyNumberFormat="0" applyBorder="0" applyAlignment="0" applyProtection="0"/>
    <xf numFmtId="0" fontId="34" fillId="12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2" borderId="0" applyNumberFormat="0" applyBorder="0" applyAlignment="0" applyProtection="0"/>
    <xf numFmtId="0" fontId="3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2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14" borderId="0" applyNumberFormat="0" applyBorder="0" applyAlignment="0" applyProtection="0"/>
    <xf numFmtId="0" fontId="4" fillId="12" borderId="0" applyNumberFormat="0" applyBorder="0" applyAlignment="0" applyProtection="0"/>
    <xf numFmtId="0" fontId="4" fillId="22" borderId="0" applyNumberFormat="0" applyBorder="0" applyAlignment="0" applyProtection="0"/>
    <xf numFmtId="0" fontId="4" fillId="18" borderId="0" applyNumberFormat="0" applyBorder="0" applyAlignment="0" applyProtection="0"/>
    <xf numFmtId="0" fontId="35" fillId="7" borderId="0" applyNumberFormat="0" applyBorder="0" applyAlignment="0" applyProtection="0"/>
    <xf numFmtId="0" fontId="36" fillId="2" borderId="1" applyNumberFormat="0" applyAlignment="0" applyProtection="0"/>
    <xf numFmtId="0" fontId="37" fillId="23" borderId="2" applyNumberFormat="0" applyAlignment="0" applyProtection="0"/>
    <xf numFmtId="0" fontId="5" fillId="8" borderId="1" applyNumberFormat="0" applyAlignment="0" applyProtection="0"/>
    <xf numFmtId="0" fontId="5" fillId="6" borderId="1" applyNumberFormat="0" applyAlignment="0" applyProtection="0"/>
    <xf numFmtId="0" fontId="6" fillId="24" borderId="3" applyNumberFormat="0" applyAlignment="0" applyProtection="0"/>
    <xf numFmtId="0" fontId="6" fillId="25" borderId="3" applyNumberFormat="0" applyAlignment="0" applyProtection="0"/>
    <xf numFmtId="0" fontId="7" fillId="26" borderId="0" applyNumberFormat="0" applyBorder="0" applyAlignment="0" applyProtection="0"/>
    <xf numFmtId="165" fontId="20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26" borderId="0" applyNumberFormat="0" applyBorder="0" applyAlignment="0" applyProtection="0"/>
    <xf numFmtId="0" fontId="21" fillId="0" borderId="0">
      <alignment horizontal="center"/>
    </xf>
    <xf numFmtId="0" fontId="40" fillId="0" borderId="4" applyNumberFormat="0" applyFill="0" applyAlignment="0" applyProtection="0"/>
    <xf numFmtId="0" fontId="41" fillId="0" borderId="5" applyNumberFormat="0" applyFill="0" applyAlignment="0" applyProtection="0"/>
    <xf numFmtId="0" fontId="42" fillId="0" borderId="6" applyNumberFormat="0" applyFill="0" applyAlignment="0" applyProtection="0"/>
    <xf numFmtId="0" fontId="42" fillId="0" borderId="0" applyNumberFormat="0" applyFill="0" applyBorder="0" applyAlignment="0" applyProtection="0"/>
    <xf numFmtId="0" fontId="21" fillId="0" borderId="0">
      <alignment horizontal="center" textRotation="90"/>
    </xf>
    <xf numFmtId="0" fontId="49" fillId="0" borderId="0" applyNumberFormat="0" applyFill="0" applyBorder="0" applyAlignment="0" applyProtection="0"/>
    <xf numFmtId="0" fontId="43" fillId="6" borderId="1" applyNumberFormat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  <xf numFmtId="0" fontId="9" fillId="27" borderId="2" applyNumberFormat="0" applyAlignment="0" applyProtection="0"/>
    <xf numFmtId="0" fontId="9" fillId="23" borderId="2" applyNumberFormat="0" applyAlignment="0" applyProtection="0"/>
    <xf numFmtId="0" fontId="44" fillId="0" borderId="7" applyNumberFormat="0" applyFill="0" applyAlignment="0" applyProtection="0"/>
    <xf numFmtId="0" fontId="10" fillId="0" borderId="8" applyNumberFormat="0" applyFill="0" applyAlignment="0" applyProtection="0"/>
    <xf numFmtId="0" fontId="29" fillId="0" borderId="4" applyNumberFormat="0" applyFill="0" applyAlignment="0" applyProtection="0"/>
    <xf numFmtId="0" fontId="11" fillId="0" borderId="5" applyNumberFormat="0" applyFill="0" applyAlignment="0" applyProtection="0"/>
    <xf numFmtId="0" fontId="30" fillId="0" borderId="5" applyNumberFormat="0" applyFill="0" applyAlignment="0" applyProtection="0"/>
    <xf numFmtId="0" fontId="12" fillId="0" borderId="9" applyNumberFormat="0" applyFill="0" applyAlignment="0" applyProtection="0"/>
    <xf numFmtId="0" fontId="31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5" fillId="10" borderId="0" applyNumberFormat="0" applyBorder="0" applyAlignment="0" applyProtection="0"/>
    <xf numFmtId="0" fontId="13" fillId="10" borderId="0" applyNumberFormat="0" applyBorder="0" applyAlignment="0" applyProtection="0"/>
    <xf numFmtId="167" fontId="22" fillId="0" borderId="0">
      <alignment vertical="top"/>
    </xf>
    <xf numFmtId="0" fontId="28" fillId="0" borderId="0"/>
    <xf numFmtId="0" fontId="23" fillId="0" borderId="0"/>
    <xf numFmtId="0" fontId="3" fillId="0" borderId="0"/>
    <xf numFmtId="0" fontId="24" fillId="0" borderId="0"/>
    <xf numFmtId="0" fontId="20" fillId="0" borderId="0"/>
    <xf numFmtId="0" fontId="22" fillId="0" borderId="0"/>
    <xf numFmtId="167" fontId="24" fillId="0" borderId="0"/>
    <xf numFmtId="0" fontId="22" fillId="0" borderId="0" applyNumberFormat="0" applyFill="0" applyBorder="0" applyAlignment="0" applyProtection="0">
      <alignment vertical="top"/>
    </xf>
    <xf numFmtId="0" fontId="1" fillId="0" borderId="0"/>
    <xf numFmtId="0" fontId="28" fillId="4" borderId="10" applyNumberFormat="0" applyFont="0" applyAlignment="0" applyProtection="0"/>
    <xf numFmtId="0" fontId="14" fillId="24" borderId="1" applyNumberFormat="0" applyAlignment="0" applyProtection="0"/>
    <xf numFmtId="0" fontId="14" fillId="25" borderId="1" applyNumberFormat="0" applyAlignment="0" applyProtection="0"/>
    <xf numFmtId="0" fontId="46" fillId="2" borderId="3" applyNumberFormat="0" applyAlignment="0" applyProtection="0"/>
    <xf numFmtId="9" fontId="2" fillId="0" borderId="0" applyFill="0" applyBorder="0" applyAlignment="0" applyProtection="0"/>
    <xf numFmtId="168" fontId="23" fillId="0" borderId="0"/>
    <xf numFmtId="9" fontId="20" fillId="0" borderId="0" applyFont="0" applyFill="0" applyBorder="0" applyAlignment="0" applyProtection="0"/>
    <xf numFmtId="168" fontId="26" fillId="0" borderId="0"/>
    <xf numFmtId="9" fontId="2" fillId="0" borderId="0" applyFill="0" applyBorder="0" applyAlignment="0" applyProtection="0"/>
    <xf numFmtId="9" fontId="25" fillId="0" borderId="0"/>
    <xf numFmtId="9" fontId="1" fillId="0" borderId="0" applyFont="0" applyFill="0" applyBorder="0" applyAlignment="0" applyProtection="0"/>
    <xf numFmtId="0" fontId="27" fillId="0" borderId="0"/>
    <xf numFmtId="169" fontId="27" fillId="0" borderId="0"/>
    <xf numFmtId="0" fontId="15" fillId="0" borderId="11" applyNumberFormat="0" applyFill="0" applyAlignment="0" applyProtection="0"/>
    <xf numFmtId="0" fontId="15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7" fillId="0" borderId="12" applyNumberFormat="0" applyFill="0" applyAlignment="0" applyProtection="0"/>
    <xf numFmtId="0" fontId="18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" fillId="28" borderId="10" applyNumberFormat="0" applyAlignment="0" applyProtection="0"/>
    <xf numFmtId="0" fontId="28" fillId="4" borderId="10" applyNumberFormat="0" applyFont="0" applyAlignment="0" applyProtection="0"/>
    <xf numFmtId="166" fontId="20" fillId="0" borderId="0" applyFill="0" applyBorder="0" applyAlignment="0" applyProtection="0"/>
    <xf numFmtId="164" fontId="28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19" fillId="29" borderId="0" applyNumberFormat="0" applyBorder="0" applyAlignment="0" applyProtection="0"/>
    <xf numFmtId="165" fontId="20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50" fillId="0" borderId="0"/>
  </cellStyleXfs>
  <cellXfs count="625">
    <xf numFmtId="0" fontId="0" fillId="0" borderId="0" xfId="0"/>
    <xf numFmtId="0" fontId="51" fillId="0" borderId="0" xfId="0" applyFont="1"/>
    <xf numFmtId="0" fontId="55" fillId="0" borderId="17" xfId="1" applyFont="1" applyBorder="1" applyAlignment="1">
      <alignment horizontal="center" vertical="center" textRotation="90" wrapText="1"/>
    </xf>
    <xf numFmtId="0" fontId="55" fillId="0" borderId="16" xfId="1" applyFont="1" applyBorder="1" applyAlignment="1">
      <alignment horizontal="center" vertical="center" textRotation="90" wrapText="1"/>
    </xf>
    <xf numFmtId="0" fontId="55" fillId="0" borderId="16" xfId="1" applyFont="1" applyBorder="1" applyAlignment="1">
      <alignment horizontal="center" vertical="center" wrapText="1"/>
    </xf>
    <xf numFmtId="0" fontId="56" fillId="0" borderId="14" xfId="1" applyFont="1" applyBorder="1" applyAlignment="1">
      <alignment horizontal="center" vertical="center" wrapText="1"/>
    </xf>
    <xf numFmtId="0" fontId="56" fillId="0" borderId="15" xfId="1" applyFont="1" applyBorder="1" applyAlignment="1">
      <alignment horizontal="center" vertical="center" wrapText="1"/>
    </xf>
    <xf numFmtId="0" fontId="56" fillId="0" borderId="17" xfId="1" applyFont="1" applyBorder="1" applyAlignment="1">
      <alignment horizontal="center" vertical="center" wrapText="1"/>
    </xf>
    <xf numFmtId="0" fontId="56" fillId="0" borderId="16" xfId="1" applyFont="1" applyBorder="1" applyAlignment="1">
      <alignment horizontal="center" vertical="center" wrapText="1"/>
    </xf>
    <xf numFmtId="170" fontId="58" fillId="0" borderId="18" xfId="0" applyNumberFormat="1" applyFont="1" applyBorder="1" applyAlignment="1">
      <alignment horizontal="center" vertical="center"/>
    </xf>
    <xf numFmtId="171" fontId="58" fillId="0" borderId="13" xfId="0" applyNumberFormat="1" applyFont="1" applyBorder="1" applyAlignment="1">
      <alignment horizontal="center" vertical="center"/>
    </xf>
    <xf numFmtId="172" fontId="58" fillId="0" borderId="13" xfId="0" applyNumberFormat="1" applyFont="1" applyBorder="1" applyAlignment="1">
      <alignment horizontal="center" vertical="center"/>
    </xf>
    <xf numFmtId="0" fontId="58" fillId="0" borderId="13" xfId="0" applyFont="1" applyBorder="1" applyAlignment="1">
      <alignment horizontal="left" vertical="center" wrapText="1"/>
    </xf>
    <xf numFmtId="4" fontId="58" fillId="0" borderId="13" xfId="0" applyNumberFormat="1" applyFont="1" applyBorder="1" applyAlignment="1">
      <alignment horizontal="right" vertical="center"/>
    </xf>
    <xf numFmtId="0" fontId="59" fillId="0" borderId="0" xfId="0" applyFont="1" applyAlignment="1">
      <alignment vertical="center"/>
    </xf>
    <xf numFmtId="0" fontId="1" fillId="0" borderId="0" xfId="0" applyFont="1"/>
    <xf numFmtId="0" fontId="60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/>
    </xf>
    <xf numFmtId="0" fontId="61" fillId="0" borderId="0" xfId="0" applyFont="1" applyAlignment="1">
      <alignment horizontal="centerContinuous"/>
    </xf>
    <xf numFmtId="0" fontId="61" fillId="0" borderId="0" xfId="0" applyFont="1"/>
    <xf numFmtId="0" fontId="62" fillId="0" borderId="0" xfId="0" applyFont="1" applyAlignment="1">
      <alignment horizontal="center" vertical="center"/>
    </xf>
    <xf numFmtId="49" fontId="1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4" fontId="0" fillId="0" borderId="0" xfId="0" applyNumberFormat="1"/>
    <xf numFmtId="0" fontId="57" fillId="0" borderId="31" xfId="0" applyFont="1" applyBorder="1" applyAlignment="1">
      <alignment horizontal="center" vertical="center" wrapText="1"/>
    </xf>
    <xf numFmtId="0" fontId="57" fillId="0" borderId="32" xfId="0" applyFont="1" applyBorder="1" applyAlignment="1">
      <alignment horizontal="center" vertical="center" wrapText="1"/>
    </xf>
    <xf numFmtId="4" fontId="57" fillId="0" borderId="32" xfId="0" applyNumberFormat="1" applyFont="1" applyBorder="1" applyAlignment="1">
      <alignment horizontal="right" vertical="center" wrapText="1"/>
    </xf>
    <xf numFmtId="0" fontId="63" fillId="0" borderId="0" xfId="0" applyFont="1" applyAlignment="1">
      <alignment horizontal="center"/>
    </xf>
    <xf numFmtId="0" fontId="64" fillId="0" borderId="0" xfId="0" applyFont="1"/>
    <xf numFmtId="0" fontId="65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0" fontId="67" fillId="0" borderId="0" xfId="0" applyFont="1"/>
    <xf numFmtId="0" fontId="68" fillId="0" borderId="0" xfId="0" applyFont="1"/>
    <xf numFmtId="0" fontId="66" fillId="0" borderId="0" xfId="0" applyFont="1" applyAlignment="1">
      <alignment horizontal="right"/>
    </xf>
    <xf numFmtId="0" fontId="66" fillId="0" borderId="17" xfId="1" applyFont="1" applyBorder="1" applyAlignment="1">
      <alignment horizontal="center" vertical="center" textRotation="90" wrapText="1"/>
    </xf>
    <xf numFmtId="0" fontId="66" fillId="0" borderId="16" xfId="1" applyFont="1" applyBorder="1" applyAlignment="1">
      <alignment horizontal="center" vertical="center" textRotation="90" wrapText="1"/>
    </xf>
    <xf numFmtId="0" fontId="66" fillId="0" borderId="16" xfId="1" applyFont="1" applyBorder="1" applyAlignment="1">
      <alignment horizontal="center" vertical="center" wrapText="1"/>
    </xf>
    <xf numFmtId="0" fontId="69" fillId="0" borderId="14" xfId="1" applyFont="1" applyBorder="1" applyAlignment="1">
      <alignment horizontal="center" vertical="center" wrapText="1"/>
    </xf>
    <xf numFmtId="0" fontId="69" fillId="0" borderId="15" xfId="1" applyFont="1" applyBorder="1" applyAlignment="1">
      <alignment horizontal="center" vertical="center" wrapText="1"/>
    </xf>
    <xf numFmtId="170" fontId="70" fillId="0" borderId="17" xfId="0" applyNumberFormat="1" applyFont="1" applyBorder="1" applyAlignment="1">
      <alignment horizontal="center" vertical="center"/>
    </xf>
    <xf numFmtId="171" fontId="70" fillId="0" borderId="16" xfId="0" applyNumberFormat="1" applyFont="1" applyBorder="1" applyAlignment="1">
      <alignment horizontal="center" vertical="center"/>
    </xf>
    <xf numFmtId="172" fontId="70" fillId="0" borderId="16" xfId="0" applyNumberFormat="1" applyFont="1" applyBorder="1" applyAlignment="1">
      <alignment horizontal="center" vertical="center"/>
    </xf>
    <xf numFmtId="0" fontId="70" fillId="0" borderId="16" xfId="0" applyFont="1" applyBorder="1" applyAlignment="1">
      <alignment horizontal="left" vertical="center" wrapText="1"/>
    </xf>
    <xf numFmtId="4" fontId="70" fillId="0" borderId="19" xfId="0" applyNumberFormat="1" applyFont="1" applyBorder="1" applyAlignment="1">
      <alignment horizontal="right" vertical="center"/>
    </xf>
    <xf numFmtId="170" fontId="70" fillId="0" borderId="18" xfId="0" applyNumberFormat="1" applyFont="1" applyBorder="1" applyAlignment="1">
      <alignment horizontal="center" vertical="center"/>
    </xf>
    <xf numFmtId="171" fontId="70" fillId="0" borderId="13" xfId="0" applyNumberFormat="1" applyFont="1" applyBorder="1" applyAlignment="1">
      <alignment horizontal="center" vertical="center"/>
    </xf>
    <xf numFmtId="172" fontId="70" fillId="0" borderId="13" xfId="0" applyNumberFormat="1" applyFont="1" applyBorder="1" applyAlignment="1">
      <alignment horizontal="center" vertical="center"/>
    </xf>
    <xf numFmtId="0" fontId="70" fillId="0" borderId="13" xfId="0" applyFont="1" applyBorder="1" applyAlignment="1">
      <alignment horizontal="left" vertical="center" wrapText="1"/>
    </xf>
    <xf numFmtId="4" fontId="70" fillId="0" borderId="20" xfId="0" applyNumberFormat="1" applyFont="1" applyBorder="1" applyAlignment="1">
      <alignment horizontal="right" vertical="center"/>
    </xf>
    <xf numFmtId="170" fontId="70" fillId="0" borderId="14" xfId="0" applyNumberFormat="1" applyFont="1" applyBorder="1" applyAlignment="1">
      <alignment horizontal="center" vertical="center"/>
    </xf>
    <xf numFmtId="171" fontId="70" fillId="0" borderId="21" xfId="0" applyNumberFormat="1" applyFont="1" applyBorder="1" applyAlignment="1">
      <alignment horizontal="center" vertical="center"/>
    </xf>
    <xf numFmtId="172" fontId="70" fillId="0" borderId="21" xfId="0" applyNumberFormat="1" applyFont="1" applyBorder="1" applyAlignment="1">
      <alignment horizontal="center" vertical="center"/>
    </xf>
    <xf numFmtId="0" fontId="64" fillId="0" borderId="21" xfId="0" applyFont="1" applyBorder="1" applyAlignment="1">
      <alignment horizontal="left" vertical="center" wrapText="1"/>
    </xf>
    <xf numFmtId="4" fontId="64" fillId="0" borderId="22" xfId="0" applyNumberFormat="1" applyFont="1" applyBorder="1" applyAlignment="1">
      <alignment horizontal="right" vertical="center"/>
    </xf>
    <xf numFmtId="0" fontId="70" fillId="0" borderId="21" xfId="0" applyFont="1" applyBorder="1" applyAlignment="1">
      <alignment horizontal="left" vertical="center" wrapText="1"/>
    </xf>
    <xf numFmtId="4" fontId="70" fillId="0" borderId="22" xfId="0" applyNumberFormat="1" applyFont="1" applyBorder="1" applyAlignment="1">
      <alignment horizontal="right" vertical="center"/>
    </xf>
    <xf numFmtId="171" fontId="70" fillId="0" borderId="23" xfId="0" applyNumberFormat="1" applyFont="1" applyBorder="1" applyAlignment="1">
      <alignment horizontal="center" vertical="center"/>
    </xf>
    <xf numFmtId="172" fontId="70" fillId="0" borderId="23" xfId="0" applyNumberFormat="1" applyFont="1" applyBorder="1" applyAlignment="1">
      <alignment horizontal="center" vertical="center"/>
    </xf>
    <xf numFmtId="0" fontId="70" fillId="0" borderId="23" xfId="0" applyFont="1" applyBorder="1" applyAlignment="1">
      <alignment horizontal="left" vertical="top" wrapText="1"/>
    </xf>
    <xf numFmtId="4" fontId="70" fillId="0" borderId="24" xfId="0" applyNumberFormat="1" applyFont="1" applyBorder="1" applyAlignment="1">
      <alignment horizontal="right" vertical="center"/>
    </xf>
    <xf numFmtId="0" fontId="69" fillId="0" borderId="17" xfId="1" applyFont="1" applyBorder="1" applyAlignment="1">
      <alignment horizontal="center" vertical="center" wrapText="1"/>
    </xf>
    <xf numFmtId="0" fontId="69" fillId="0" borderId="16" xfId="1" applyFont="1" applyBorder="1" applyAlignment="1">
      <alignment horizontal="center" vertical="center" wrapText="1"/>
    </xf>
    <xf numFmtId="170" fontId="72" fillId="0" borderId="18" xfId="0" applyNumberFormat="1" applyFont="1" applyBorder="1" applyAlignment="1">
      <alignment horizontal="center" vertical="center"/>
    </xf>
    <xf numFmtId="171" fontId="72" fillId="0" borderId="13" xfId="0" applyNumberFormat="1" applyFont="1" applyBorder="1" applyAlignment="1">
      <alignment horizontal="center" vertical="center"/>
    </xf>
    <xf numFmtId="172" fontId="72" fillId="0" borderId="13" xfId="0" applyNumberFormat="1" applyFont="1" applyBorder="1" applyAlignment="1">
      <alignment horizontal="center" vertical="center"/>
    </xf>
    <xf numFmtId="4" fontId="72" fillId="0" borderId="13" xfId="0" applyNumberFormat="1" applyFont="1" applyBorder="1" applyAlignment="1">
      <alignment horizontal="right" vertical="center"/>
    </xf>
    <xf numFmtId="2" fontId="0" fillId="0" borderId="0" xfId="0" applyNumberFormat="1"/>
    <xf numFmtId="0" fontId="73" fillId="0" borderId="17" xfId="1" applyFont="1" applyBorder="1" applyAlignment="1">
      <alignment horizontal="center" vertical="center" wrapText="1"/>
    </xf>
    <xf numFmtId="0" fontId="73" fillId="0" borderId="16" xfId="1" applyFont="1" applyBorder="1" applyAlignment="1">
      <alignment horizontal="center" vertical="center" wrapText="1"/>
    </xf>
    <xf numFmtId="0" fontId="53" fillId="0" borderId="0" xfId="0" applyFont="1"/>
    <xf numFmtId="170" fontId="57" fillId="0" borderId="18" xfId="0" applyNumberFormat="1" applyFont="1" applyBorder="1" applyAlignment="1">
      <alignment horizontal="center" vertical="center"/>
    </xf>
    <xf numFmtId="171" fontId="57" fillId="0" borderId="13" xfId="0" applyNumberFormat="1" applyFont="1" applyBorder="1" applyAlignment="1">
      <alignment horizontal="center" vertical="center"/>
    </xf>
    <xf numFmtId="172" fontId="57" fillId="0" borderId="13" xfId="0" applyNumberFormat="1" applyFont="1" applyBorder="1" applyAlignment="1">
      <alignment horizontal="center" vertical="center"/>
    </xf>
    <xf numFmtId="0" fontId="57" fillId="0" borderId="13" xfId="0" applyFont="1" applyBorder="1" applyAlignment="1">
      <alignment horizontal="left" vertical="center" wrapText="1"/>
    </xf>
    <xf numFmtId="4" fontId="57" fillId="0" borderId="13" xfId="0" applyNumberFormat="1" applyFont="1" applyBorder="1" applyAlignment="1">
      <alignment horizontal="right" vertical="center"/>
    </xf>
    <xf numFmtId="4" fontId="70" fillId="0" borderId="13" xfId="0" applyNumberFormat="1" applyFont="1" applyBorder="1" applyAlignment="1">
      <alignment horizontal="right" vertical="center"/>
    </xf>
    <xf numFmtId="170" fontId="64" fillId="0" borderId="18" xfId="0" applyNumberFormat="1" applyFont="1" applyBorder="1" applyAlignment="1">
      <alignment horizontal="center" vertical="center"/>
    </xf>
    <xf numFmtId="171" fontId="64" fillId="0" borderId="13" xfId="0" applyNumberFormat="1" applyFont="1" applyBorder="1" applyAlignment="1">
      <alignment horizontal="center" vertical="center"/>
    </xf>
    <xf numFmtId="172" fontId="64" fillId="0" borderId="13" xfId="0" applyNumberFormat="1" applyFont="1" applyBorder="1" applyAlignment="1">
      <alignment horizontal="center" vertical="center"/>
    </xf>
    <xf numFmtId="0" fontId="64" fillId="0" borderId="13" xfId="0" applyFont="1" applyBorder="1" applyAlignment="1">
      <alignment horizontal="left" vertical="center" wrapText="1"/>
    </xf>
    <xf numFmtId="4" fontId="64" fillId="0" borderId="13" xfId="0" applyNumberFormat="1" applyFont="1" applyBorder="1" applyAlignment="1">
      <alignment horizontal="right" vertical="center"/>
    </xf>
    <xf numFmtId="0" fontId="74" fillId="0" borderId="0" xfId="0" applyFont="1" applyAlignment="1">
      <alignment horizontal="justify" vertical="center"/>
    </xf>
    <xf numFmtId="170" fontId="82" fillId="0" borderId="18" xfId="0" applyNumberFormat="1" applyFont="1" applyBorder="1" applyAlignment="1">
      <alignment horizontal="center" vertical="center"/>
    </xf>
    <xf numFmtId="171" fontId="82" fillId="0" borderId="13" xfId="0" applyNumberFormat="1" applyFont="1" applyBorder="1" applyAlignment="1">
      <alignment horizontal="center" vertical="center"/>
    </xf>
    <xf numFmtId="172" fontId="82" fillId="0" borderId="13" xfId="0" applyNumberFormat="1" applyFont="1" applyBorder="1" applyAlignment="1">
      <alignment horizontal="center" vertical="center"/>
    </xf>
    <xf numFmtId="0" fontId="81" fillId="0" borderId="0" xfId="0" applyFont="1"/>
    <xf numFmtId="172" fontId="57" fillId="30" borderId="13" xfId="0" applyNumberFormat="1" applyFont="1" applyFill="1" applyBorder="1" applyAlignment="1">
      <alignment horizontal="center" vertical="center"/>
    </xf>
    <xf numFmtId="0" fontId="57" fillId="30" borderId="13" xfId="0" applyFont="1" applyFill="1" applyBorder="1" applyAlignment="1">
      <alignment horizontal="left" vertical="center" wrapText="1"/>
    </xf>
    <xf numFmtId="4" fontId="57" fillId="30" borderId="13" xfId="0" applyNumberFormat="1" applyFont="1" applyFill="1" applyBorder="1" applyAlignment="1">
      <alignment horizontal="right" vertical="center"/>
    </xf>
    <xf numFmtId="172" fontId="58" fillId="30" borderId="13" xfId="0" applyNumberFormat="1" applyFont="1" applyFill="1" applyBorder="1" applyAlignment="1">
      <alignment horizontal="center" vertical="center"/>
    </xf>
    <xf numFmtId="0" fontId="58" fillId="30" borderId="13" xfId="0" applyFont="1" applyFill="1" applyBorder="1" applyAlignment="1">
      <alignment horizontal="left" vertical="center" wrapText="1"/>
    </xf>
    <xf numFmtId="4" fontId="58" fillId="30" borderId="13" xfId="0" applyNumberFormat="1" applyFont="1" applyFill="1" applyBorder="1" applyAlignment="1">
      <alignment horizontal="right" vertical="center"/>
    </xf>
    <xf numFmtId="0" fontId="58" fillId="0" borderId="13" xfId="0" applyFont="1" applyBorder="1" applyAlignment="1">
      <alignment horizontal="left" vertical="top" wrapText="1"/>
    </xf>
    <xf numFmtId="0" fontId="76" fillId="0" borderId="26" xfId="0" applyFont="1" applyBorder="1" applyAlignment="1">
      <alignment horizontal="center" vertical="center" wrapText="1"/>
    </xf>
    <xf numFmtId="0" fontId="55" fillId="0" borderId="0" xfId="0" applyFont="1" applyAlignment="1">
      <alignment horizontal="right" vertical="center"/>
    </xf>
    <xf numFmtId="0" fontId="82" fillId="0" borderId="13" xfId="0" applyFont="1" applyBorder="1" applyAlignment="1">
      <alignment horizontal="left" vertical="center" wrapText="1"/>
    </xf>
    <xf numFmtId="4" fontId="82" fillId="0" borderId="13" xfId="0" applyNumberFormat="1" applyFont="1" applyBorder="1" applyAlignment="1">
      <alignment horizontal="right" vertical="center"/>
    </xf>
    <xf numFmtId="170" fontId="58" fillId="0" borderId="17" xfId="0" applyNumberFormat="1" applyFont="1" applyBorder="1" applyAlignment="1">
      <alignment horizontal="center" vertical="center"/>
    </xf>
    <xf numFmtId="171" fontId="58" fillId="0" borderId="16" xfId="0" applyNumberFormat="1" applyFont="1" applyBorder="1" applyAlignment="1">
      <alignment horizontal="center" vertical="center"/>
    </xf>
    <xf numFmtId="172" fontId="58" fillId="0" borderId="16" xfId="0" applyNumberFormat="1" applyFont="1" applyBorder="1" applyAlignment="1">
      <alignment horizontal="center" vertical="center"/>
    </xf>
    <xf numFmtId="0" fontId="58" fillId="0" borderId="16" xfId="0" applyFont="1" applyBorder="1" applyAlignment="1">
      <alignment horizontal="left" vertical="center" wrapText="1"/>
    </xf>
    <xf numFmtId="4" fontId="58" fillId="0" borderId="16" xfId="0" applyNumberFormat="1" applyFont="1" applyBorder="1" applyAlignment="1">
      <alignment horizontal="right" vertical="center"/>
    </xf>
    <xf numFmtId="0" fontId="55" fillId="0" borderId="0" xfId="0" applyFont="1" applyAlignment="1">
      <alignment horizontal="left" vertical="center"/>
    </xf>
    <xf numFmtId="0" fontId="81" fillId="0" borderId="0" xfId="0" applyFont="1" applyAlignment="1">
      <alignment horizontal="left"/>
    </xf>
    <xf numFmtId="0" fontId="52" fillId="0" borderId="0" xfId="0" applyFont="1"/>
    <xf numFmtId="0" fontId="58" fillId="0" borderId="26" xfId="0" applyFont="1" applyBorder="1" applyAlignment="1">
      <alignment horizontal="center" vertical="center" wrapText="1"/>
    </xf>
    <xf numFmtId="0" fontId="58" fillId="0" borderId="27" xfId="0" applyFont="1" applyBorder="1" applyAlignment="1">
      <alignment horizontal="center" vertical="center" wrapText="1"/>
    </xf>
    <xf numFmtId="4" fontId="58" fillId="0" borderId="27" xfId="0" applyNumberFormat="1" applyFont="1" applyBorder="1" applyAlignment="1">
      <alignment horizontal="right" vertical="center" wrapText="1"/>
    </xf>
    <xf numFmtId="0" fontId="58" fillId="0" borderId="30" xfId="0" applyFont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wrapText="1"/>
    </xf>
    <xf numFmtId="4" fontId="58" fillId="0" borderId="25" xfId="0" applyNumberFormat="1" applyFont="1" applyBorder="1" applyAlignment="1">
      <alignment horizontal="right" vertical="center" wrapText="1"/>
    </xf>
    <xf numFmtId="0" fontId="76" fillId="0" borderId="30" xfId="0" applyFont="1" applyBorder="1" applyAlignment="1">
      <alignment horizontal="center" vertical="center" wrapText="1"/>
    </xf>
    <xf numFmtId="0" fontId="76" fillId="0" borderId="25" xfId="0" applyFont="1" applyBorder="1" applyAlignment="1">
      <alignment horizontal="center" vertical="center" wrapText="1"/>
    </xf>
    <xf numFmtId="0" fontId="84" fillId="0" borderId="28" xfId="0" applyFont="1" applyBorder="1" applyAlignment="1">
      <alignment horizontal="center" vertical="center" wrapText="1"/>
    </xf>
    <xf numFmtId="0" fontId="84" fillId="0" borderId="29" xfId="0" applyFont="1" applyBorder="1" applyAlignment="1">
      <alignment horizontal="center" vertical="center" wrapText="1"/>
    </xf>
    <xf numFmtId="0" fontId="76" fillId="0" borderId="27" xfId="0" applyFont="1" applyBorder="1" applyAlignment="1">
      <alignment horizontal="center" vertical="center" wrapText="1"/>
    </xf>
    <xf numFmtId="4" fontId="76" fillId="0" borderId="0" xfId="0" applyNumberFormat="1" applyFont="1" applyAlignment="1">
      <alignment horizontal="right" vertical="center" wrapText="1"/>
    </xf>
    <xf numFmtId="4" fontId="76" fillId="0" borderId="33" xfId="0" applyNumberFormat="1" applyFont="1" applyBorder="1"/>
    <xf numFmtId="0" fontId="85" fillId="0" borderId="0" xfId="0" applyFont="1"/>
    <xf numFmtId="0" fontId="86" fillId="0" borderId="0" xfId="0" applyFont="1"/>
    <xf numFmtId="0" fontId="87" fillId="0" borderId="0" xfId="0" applyFont="1"/>
    <xf numFmtId="0" fontId="88" fillId="0" borderId="0" xfId="0" applyFont="1"/>
    <xf numFmtId="0" fontId="89" fillId="0" borderId="0" xfId="0" applyFont="1"/>
    <xf numFmtId="172" fontId="58" fillId="0" borderId="36" xfId="0" applyNumberFormat="1" applyFont="1" applyBorder="1" applyAlignment="1">
      <alignment horizontal="center" vertical="center"/>
    </xf>
    <xf numFmtId="171" fontId="80" fillId="0" borderId="13" xfId="0" applyNumberFormat="1" applyFont="1" applyBorder="1" applyAlignment="1">
      <alignment horizontal="center" vertical="center"/>
    </xf>
    <xf numFmtId="172" fontId="80" fillId="0" borderId="13" xfId="0" applyNumberFormat="1" applyFont="1" applyBorder="1" applyAlignment="1">
      <alignment horizontal="center" vertical="center"/>
    </xf>
    <xf numFmtId="0" fontId="80" fillId="0" borderId="13" xfId="0" applyFont="1" applyBorder="1" applyAlignment="1">
      <alignment horizontal="left" vertical="center" wrapText="1"/>
    </xf>
    <xf numFmtId="0" fontId="80" fillId="0" borderId="35" xfId="0" applyFont="1" applyBorder="1" applyAlignment="1">
      <alignment horizontal="left" vertical="center" wrapText="1"/>
    </xf>
    <xf numFmtId="0" fontId="80" fillId="0" borderId="42" xfId="0" applyFont="1" applyBorder="1" applyAlignment="1">
      <alignment horizontal="left" vertical="center" wrapText="1"/>
    </xf>
    <xf numFmtId="172" fontId="80" fillId="0" borderId="36" xfId="0" applyNumberFormat="1" applyFont="1" applyBorder="1" applyAlignment="1">
      <alignment horizontal="center" vertical="center"/>
    </xf>
    <xf numFmtId="4" fontId="80" fillId="0" borderId="13" xfId="0" applyNumberFormat="1" applyFont="1" applyBorder="1" applyAlignment="1">
      <alignment horizontal="right" vertical="center"/>
    </xf>
    <xf numFmtId="0" fontId="80" fillId="0" borderId="23" xfId="0" applyFont="1" applyBorder="1" applyAlignment="1">
      <alignment horizontal="left" vertical="center" wrapText="1"/>
    </xf>
    <xf numFmtId="4" fontId="80" fillId="0" borderId="41" xfId="0" applyNumberFormat="1" applyFont="1" applyBorder="1" applyAlignment="1">
      <alignment horizontal="right" vertical="center"/>
    </xf>
    <xf numFmtId="0" fontId="80" fillId="0" borderId="37" xfId="0" applyFont="1" applyBorder="1" applyAlignment="1">
      <alignment horizontal="left" vertical="center" wrapText="1"/>
    </xf>
    <xf numFmtId="0" fontId="80" fillId="0" borderId="39" xfId="0" applyFont="1" applyBorder="1" applyAlignment="1">
      <alignment horizontal="left" vertical="center" wrapText="1"/>
    </xf>
    <xf numFmtId="0" fontId="80" fillId="0" borderId="38" xfId="0" applyFont="1" applyBorder="1" applyAlignment="1">
      <alignment horizontal="left" vertical="center" wrapText="1"/>
    </xf>
    <xf numFmtId="4" fontId="80" fillId="0" borderId="39" xfId="0" applyNumberFormat="1" applyFont="1" applyBorder="1" applyAlignment="1">
      <alignment horizontal="right" vertical="center"/>
    </xf>
    <xf numFmtId="171" fontId="58" fillId="0" borderId="23" xfId="0" applyNumberFormat="1" applyFont="1" applyBorder="1" applyAlignment="1">
      <alignment horizontal="center" vertical="center"/>
    </xf>
    <xf numFmtId="172" fontId="58" fillId="0" borderId="23" xfId="0" applyNumberFormat="1" applyFont="1" applyBorder="1" applyAlignment="1">
      <alignment horizontal="center" vertical="center"/>
    </xf>
    <xf numFmtId="172" fontId="58" fillId="0" borderId="40" xfId="0" applyNumberFormat="1" applyFont="1" applyBorder="1" applyAlignment="1">
      <alignment horizontal="center" vertical="center"/>
    </xf>
    <xf numFmtId="0" fontId="80" fillId="0" borderId="39" xfId="0" applyFont="1" applyBorder="1" applyAlignment="1">
      <alignment horizontal="center" vertical="center"/>
    </xf>
    <xf numFmtId="3" fontId="80" fillId="0" borderId="39" xfId="0" applyNumberFormat="1" applyFont="1" applyBorder="1" applyAlignment="1">
      <alignment horizontal="center" vertical="center"/>
    </xf>
    <xf numFmtId="0" fontId="80" fillId="0" borderId="41" xfId="0" applyFont="1" applyBorder="1" applyAlignment="1">
      <alignment horizontal="center" vertical="center"/>
    </xf>
    <xf numFmtId="3" fontId="80" fillId="0" borderId="41" xfId="0" applyNumberFormat="1" applyFont="1" applyBorder="1" applyAlignment="1">
      <alignment horizontal="center" vertical="center"/>
    </xf>
    <xf numFmtId="172" fontId="80" fillId="30" borderId="13" xfId="0" applyNumberFormat="1" applyFont="1" applyFill="1" applyBorder="1" applyAlignment="1">
      <alignment horizontal="center" vertical="center"/>
    </xf>
    <xf numFmtId="0" fontId="80" fillId="30" borderId="13" xfId="0" applyFont="1" applyFill="1" applyBorder="1" applyAlignment="1">
      <alignment horizontal="left" vertical="center" wrapText="1"/>
    </xf>
    <xf numFmtId="0" fontId="80" fillId="0" borderId="37" xfId="0" applyFont="1" applyBorder="1" applyAlignment="1">
      <alignment horizontal="center" vertical="center" wrapText="1"/>
    </xf>
    <xf numFmtId="0" fontId="80" fillId="0" borderId="41" xfId="0" applyFont="1" applyBorder="1" applyAlignment="1">
      <alignment horizontal="center" vertical="center" wrapText="1"/>
    </xf>
    <xf numFmtId="0" fontId="80" fillId="0" borderId="39" xfId="0" applyFont="1" applyBorder="1" applyAlignment="1">
      <alignment horizontal="center" vertical="center" wrapText="1"/>
    </xf>
    <xf numFmtId="0" fontId="80" fillId="0" borderId="23" xfId="0" applyFont="1" applyBorder="1" applyAlignment="1">
      <alignment horizontal="center" vertical="center" wrapText="1"/>
    </xf>
    <xf numFmtId="3" fontId="80" fillId="0" borderId="41" xfId="0" applyNumberFormat="1" applyFont="1" applyBorder="1" applyAlignment="1">
      <alignment horizontal="center" vertical="center" wrapText="1"/>
    </xf>
    <xf numFmtId="3" fontId="80" fillId="0" borderId="39" xfId="0" applyNumberFormat="1" applyFont="1" applyBorder="1" applyAlignment="1">
      <alignment horizontal="center" vertical="center" wrapText="1"/>
    </xf>
    <xf numFmtId="0" fontId="80" fillId="0" borderId="38" xfId="0" applyFont="1" applyBorder="1" applyAlignment="1">
      <alignment horizontal="center" vertical="center" wrapText="1"/>
    </xf>
    <xf numFmtId="3" fontId="80" fillId="0" borderId="38" xfId="0" applyNumberFormat="1" applyFont="1" applyBorder="1" applyAlignment="1">
      <alignment horizontal="center" vertical="center" wrapText="1"/>
    </xf>
    <xf numFmtId="3" fontId="80" fillId="0" borderId="37" xfId="0" applyNumberFormat="1" applyFont="1" applyBorder="1" applyAlignment="1">
      <alignment horizontal="center" vertical="center" wrapText="1"/>
    </xf>
    <xf numFmtId="3" fontId="80" fillId="0" borderId="23" xfId="0" applyNumberFormat="1" applyFont="1" applyBorder="1" applyAlignment="1">
      <alignment horizontal="center" vertical="center" wrapText="1"/>
    </xf>
    <xf numFmtId="0" fontId="80" fillId="0" borderId="23" xfId="0" applyFont="1" applyBorder="1" applyAlignment="1">
      <alignment horizontal="left" vertical="center"/>
    </xf>
    <xf numFmtId="3" fontId="80" fillId="0" borderId="35" xfId="0" applyNumberFormat="1" applyFont="1" applyBorder="1" applyAlignment="1">
      <alignment horizontal="center" vertical="center" wrapText="1"/>
    </xf>
    <xf numFmtId="3" fontId="80" fillId="0" borderId="23" xfId="0" applyNumberFormat="1" applyFont="1" applyBorder="1" applyAlignment="1">
      <alignment horizontal="center" vertical="center"/>
    </xf>
    <xf numFmtId="3" fontId="80" fillId="0" borderId="42" xfId="0" applyNumberFormat="1" applyFont="1" applyBorder="1" applyAlignment="1">
      <alignment horizontal="center" vertical="center"/>
    </xf>
    <xf numFmtId="3" fontId="80" fillId="0" borderId="42" xfId="0" applyNumberFormat="1" applyFont="1" applyBorder="1" applyAlignment="1">
      <alignment horizontal="center" vertical="center" wrapText="1"/>
    </xf>
    <xf numFmtId="3" fontId="80" fillId="0" borderId="13" xfId="0" applyNumberFormat="1" applyFont="1" applyBorder="1" applyAlignment="1">
      <alignment horizontal="center" vertical="center" wrapText="1"/>
    </xf>
    <xf numFmtId="0" fontId="80" fillId="0" borderId="41" xfId="0" applyFont="1" applyBorder="1" applyAlignment="1">
      <alignment horizontal="left" vertical="center" wrapText="1"/>
    </xf>
    <xf numFmtId="0" fontId="80" fillId="0" borderId="43" xfId="0" applyFont="1" applyBorder="1"/>
    <xf numFmtId="0" fontId="80" fillId="0" borderId="37" xfId="0" applyFont="1" applyBorder="1" applyAlignment="1">
      <alignment horizontal="center" vertical="center"/>
    </xf>
    <xf numFmtId="3" fontId="80" fillId="0" borderId="37" xfId="0" applyNumberFormat="1" applyFont="1" applyBorder="1" applyAlignment="1">
      <alignment horizontal="center" vertical="center"/>
    </xf>
    <xf numFmtId="0" fontId="80" fillId="0" borderId="41" xfId="0" applyFont="1" applyBorder="1" applyAlignment="1">
      <alignment horizontal="left" vertical="top" wrapText="1"/>
    </xf>
    <xf numFmtId="0" fontId="80" fillId="30" borderId="41" xfId="0" applyFont="1" applyFill="1" applyBorder="1" applyAlignment="1">
      <alignment horizontal="center" vertical="center" wrapText="1"/>
    </xf>
    <xf numFmtId="3" fontId="80" fillId="30" borderId="41" xfId="0" applyNumberFormat="1" applyFont="1" applyFill="1" applyBorder="1" applyAlignment="1">
      <alignment horizontal="center" vertical="center"/>
    </xf>
    <xf numFmtId="0" fontId="80" fillId="30" borderId="41" xfId="0" applyFont="1" applyFill="1" applyBorder="1" applyAlignment="1">
      <alignment horizontal="center" vertical="center"/>
    </xf>
    <xf numFmtId="0" fontId="80" fillId="30" borderId="38" xfId="0" applyFont="1" applyFill="1" applyBorder="1" applyAlignment="1">
      <alignment horizontal="center" vertical="center"/>
    </xf>
    <xf numFmtId="3" fontId="80" fillId="30" borderId="38" xfId="0" applyNumberFormat="1" applyFont="1" applyFill="1" applyBorder="1" applyAlignment="1">
      <alignment horizontal="center" vertical="center"/>
    </xf>
    <xf numFmtId="0" fontId="80" fillId="30" borderId="39" xfId="0" applyFont="1" applyFill="1" applyBorder="1" applyAlignment="1">
      <alignment horizontal="center" vertical="center" wrapText="1"/>
    </xf>
    <xf numFmtId="3" fontId="80" fillId="30" borderId="13" xfId="0" applyNumberFormat="1" applyFont="1" applyFill="1" applyBorder="1" applyAlignment="1">
      <alignment horizontal="center" vertical="center" wrapText="1"/>
    </xf>
    <xf numFmtId="0" fontId="80" fillId="30" borderId="37" xfId="0" applyFont="1" applyFill="1" applyBorder="1" applyAlignment="1">
      <alignment horizontal="center" vertical="center" wrapText="1"/>
    </xf>
    <xf numFmtId="3" fontId="80" fillId="30" borderId="42" xfId="0" applyNumberFormat="1" applyFont="1" applyFill="1" applyBorder="1" applyAlignment="1">
      <alignment horizontal="center" vertical="center" wrapText="1"/>
    </xf>
    <xf numFmtId="0" fontId="80" fillId="30" borderId="23" xfId="0" applyFont="1" applyFill="1" applyBorder="1" applyAlignment="1">
      <alignment horizontal="left" vertical="center" wrapText="1"/>
    </xf>
    <xf numFmtId="3" fontId="80" fillId="30" borderId="23" xfId="0" applyNumberFormat="1" applyFont="1" applyFill="1" applyBorder="1" applyAlignment="1">
      <alignment horizontal="center" vertical="center" wrapText="1"/>
    </xf>
    <xf numFmtId="3" fontId="80" fillId="30" borderId="39" xfId="0" applyNumberFormat="1" applyFont="1" applyFill="1" applyBorder="1" applyAlignment="1">
      <alignment horizontal="center" vertical="center" wrapText="1"/>
    </xf>
    <xf numFmtId="0" fontId="54" fillId="0" borderId="0" xfId="0" applyFont="1" applyAlignment="1">
      <alignment horizontal="center"/>
    </xf>
    <xf numFmtId="172" fontId="80" fillId="0" borderId="23" xfId="0" applyNumberFormat="1" applyFont="1" applyBorder="1" applyAlignment="1">
      <alignment horizontal="center" vertical="center"/>
    </xf>
    <xf numFmtId="0" fontId="80" fillId="0" borderId="23" xfId="0" applyFont="1" applyBorder="1" applyAlignment="1">
      <alignment horizontal="left" vertical="top" wrapText="1"/>
    </xf>
    <xf numFmtId="0" fontId="58" fillId="0" borderId="23" xfId="0" applyFont="1" applyBorder="1" applyAlignment="1">
      <alignment horizontal="left" vertical="center" wrapText="1"/>
    </xf>
    <xf numFmtId="4" fontId="58" fillId="0" borderId="23" xfId="0" applyNumberFormat="1" applyFont="1" applyBorder="1" applyAlignment="1">
      <alignment horizontal="right" vertical="center"/>
    </xf>
    <xf numFmtId="0" fontId="93" fillId="0" borderId="0" xfId="0" applyFont="1"/>
    <xf numFmtId="0" fontId="80" fillId="30" borderId="23" xfId="0" applyFont="1" applyFill="1" applyBorder="1" applyAlignment="1">
      <alignment horizontal="center" vertical="center" wrapText="1"/>
    </xf>
    <xf numFmtId="0" fontId="80" fillId="30" borderId="13" xfId="0" applyFont="1" applyFill="1" applyBorder="1" applyAlignment="1">
      <alignment horizontal="center" vertical="center"/>
    </xf>
    <xf numFmtId="3" fontId="80" fillId="30" borderId="37" xfId="0" applyNumberFormat="1" applyFont="1" applyFill="1" applyBorder="1" applyAlignment="1">
      <alignment horizontal="center" vertical="center"/>
    </xf>
    <xf numFmtId="0" fontId="80" fillId="30" borderId="37" xfId="0" applyFont="1" applyFill="1" applyBorder="1" applyAlignment="1">
      <alignment horizontal="center" vertical="center"/>
    </xf>
    <xf numFmtId="0" fontId="80" fillId="30" borderId="39" xfId="0" applyFont="1" applyFill="1" applyBorder="1" applyAlignment="1">
      <alignment horizontal="center" vertical="center"/>
    </xf>
    <xf numFmtId="170" fontId="80" fillId="0" borderId="18" xfId="0" applyNumberFormat="1" applyFont="1" applyBorder="1" applyAlignment="1">
      <alignment horizontal="center" vertical="center"/>
    </xf>
    <xf numFmtId="0" fontId="70" fillId="0" borderId="23" xfId="0" applyFont="1" applyBorder="1" applyAlignment="1">
      <alignment horizontal="left" vertical="center" wrapText="1"/>
    </xf>
    <xf numFmtId="171" fontId="58" fillId="0" borderId="35" xfId="0" applyNumberFormat="1" applyFont="1" applyBorder="1" applyAlignment="1">
      <alignment horizontal="center" vertical="center"/>
    </xf>
    <xf numFmtId="170" fontId="58" fillId="0" borderId="23" xfId="0" applyNumberFormat="1" applyFont="1" applyBorder="1" applyAlignment="1">
      <alignment horizontal="center" vertical="center"/>
    </xf>
    <xf numFmtId="4" fontId="80" fillId="0" borderId="45" xfId="0" applyNumberFormat="1" applyFont="1" applyBorder="1" applyAlignment="1">
      <alignment horizontal="right" vertical="center" wrapText="1"/>
    </xf>
    <xf numFmtId="4" fontId="80" fillId="0" borderId="24" xfId="0" applyNumberFormat="1" applyFont="1" applyBorder="1" applyAlignment="1">
      <alignment horizontal="right" vertical="center" wrapText="1"/>
    </xf>
    <xf numFmtId="4" fontId="80" fillId="0" borderId="20" xfId="0" applyNumberFormat="1" applyFont="1" applyBorder="1" applyAlignment="1">
      <alignment horizontal="right" vertical="center" wrapText="1"/>
    </xf>
    <xf numFmtId="4" fontId="80" fillId="30" borderId="20" xfId="0" applyNumberFormat="1" applyFont="1" applyFill="1" applyBorder="1" applyAlignment="1">
      <alignment horizontal="right" vertical="center" wrapText="1"/>
    </xf>
    <xf numFmtId="172" fontId="58" fillId="0" borderId="35" xfId="0" applyNumberFormat="1" applyFont="1" applyBorder="1" applyAlignment="1">
      <alignment horizontal="center" vertical="center"/>
    </xf>
    <xf numFmtId="171" fontId="82" fillId="0" borderId="47" xfId="0" applyNumberFormat="1" applyFont="1" applyBorder="1" applyAlignment="1">
      <alignment horizontal="center" vertical="center"/>
    </xf>
    <xf numFmtId="172" fontId="82" fillId="0" borderId="47" xfId="0" applyNumberFormat="1" applyFont="1" applyBorder="1" applyAlignment="1">
      <alignment horizontal="center" vertical="center"/>
    </xf>
    <xf numFmtId="0" fontId="58" fillId="0" borderId="47" xfId="0" applyFont="1" applyBorder="1" applyAlignment="1">
      <alignment horizontal="left" vertical="center" wrapText="1"/>
    </xf>
    <xf numFmtId="0" fontId="82" fillId="0" borderId="47" xfId="0" applyFont="1" applyBorder="1" applyAlignment="1">
      <alignment horizontal="left" vertical="center" wrapText="1"/>
    </xf>
    <xf numFmtId="4" fontId="80" fillId="0" borderId="48" xfId="0" applyNumberFormat="1" applyFont="1" applyBorder="1" applyAlignment="1">
      <alignment horizontal="right" vertical="center" wrapText="1"/>
    </xf>
    <xf numFmtId="0" fontId="85" fillId="0" borderId="49" xfId="0" applyFont="1" applyBorder="1"/>
    <xf numFmtId="0" fontId="90" fillId="0" borderId="51" xfId="0" applyFont="1" applyBorder="1" applyAlignment="1">
      <alignment horizontal="center" vertical="center" wrapText="1"/>
    </xf>
    <xf numFmtId="170" fontId="80" fillId="0" borderId="52" xfId="0" applyNumberFormat="1" applyFont="1" applyBorder="1" applyAlignment="1">
      <alignment horizontal="center" vertical="center"/>
    </xf>
    <xf numFmtId="4" fontId="80" fillId="0" borderId="20" xfId="0" applyNumberFormat="1" applyFont="1" applyBorder="1" applyAlignment="1">
      <alignment vertical="center" wrapText="1"/>
    </xf>
    <xf numFmtId="4" fontId="80" fillId="0" borderId="50" xfId="0" applyNumberFormat="1" applyFont="1" applyBorder="1" applyAlignment="1">
      <alignment vertical="center" wrapText="1"/>
    </xf>
    <xf numFmtId="4" fontId="80" fillId="0" borderId="53" xfId="0" applyNumberFormat="1" applyFont="1" applyBorder="1" applyAlignment="1">
      <alignment vertical="center" wrapText="1"/>
    </xf>
    <xf numFmtId="4" fontId="80" fillId="0" borderId="44" xfId="0" applyNumberFormat="1" applyFont="1" applyBorder="1" applyAlignment="1">
      <alignment vertical="center"/>
    </xf>
    <xf numFmtId="4" fontId="80" fillId="0" borderId="20" xfId="0" applyNumberFormat="1" applyFont="1" applyBorder="1" applyAlignment="1">
      <alignment vertical="center"/>
    </xf>
    <xf numFmtId="4" fontId="80" fillId="0" borderId="53" xfId="0" applyNumberFormat="1" applyFont="1" applyBorder="1" applyAlignment="1">
      <alignment vertical="center"/>
    </xf>
    <xf numFmtId="4" fontId="80" fillId="0" borderId="44" xfId="0" applyNumberFormat="1" applyFont="1" applyBorder="1" applyAlignment="1">
      <alignment horizontal="right" vertical="center"/>
    </xf>
    <xf numFmtId="4" fontId="80" fillId="0" borderId="44" xfId="0" applyNumberFormat="1" applyFont="1" applyBorder="1" applyAlignment="1">
      <alignment horizontal="right" vertical="center" wrapText="1"/>
    </xf>
    <xf numFmtId="4" fontId="80" fillId="0" borderId="53" xfId="0" applyNumberFormat="1" applyFont="1" applyBorder="1" applyAlignment="1">
      <alignment horizontal="right" vertical="center" wrapText="1"/>
    </xf>
    <xf numFmtId="4" fontId="80" fillId="0" borderId="54" xfId="0" applyNumberFormat="1" applyFont="1" applyBorder="1" applyAlignment="1">
      <alignment horizontal="right" vertical="center" wrapText="1"/>
    </xf>
    <xf numFmtId="4" fontId="80" fillId="30" borderId="44" xfId="0" applyNumberFormat="1" applyFont="1" applyFill="1" applyBorder="1" applyAlignment="1">
      <alignment horizontal="right" vertical="center" wrapText="1"/>
    </xf>
    <xf numFmtId="4" fontId="80" fillId="0" borderId="50" xfId="0" applyNumberFormat="1" applyFont="1" applyBorder="1" applyAlignment="1">
      <alignment horizontal="right" vertical="center" wrapText="1"/>
    </xf>
    <xf numFmtId="4" fontId="80" fillId="30" borderId="53" xfId="0" applyNumberFormat="1" applyFont="1" applyFill="1" applyBorder="1" applyAlignment="1">
      <alignment horizontal="right" vertical="center" wrapText="1"/>
    </xf>
    <xf numFmtId="170" fontId="58" fillId="0" borderId="52" xfId="0" applyNumberFormat="1" applyFont="1" applyBorder="1" applyAlignment="1">
      <alignment horizontal="center" vertical="center"/>
    </xf>
    <xf numFmtId="4" fontId="80" fillId="0" borderId="54" xfId="0" applyNumberFormat="1" applyFont="1" applyBorder="1" applyAlignment="1">
      <alignment vertical="center"/>
    </xf>
    <xf numFmtId="4" fontId="80" fillId="30" borderId="54" xfId="0" applyNumberFormat="1" applyFont="1" applyFill="1" applyBorder="1" applyAlignment="1">
      <alignment vertical="center"/>
    </xf>
    <xf numFmtId="4" fontId="80" fillId="30" borderId="44" xfId="0" applyNumberFormat="1" applyFont="1" applyFill="1" applyBorder="1" applyAlignment="1">
      <alignment vertical="center"/>
    </xf>
    <xf numFmtId="4" fontId="80" fillId="0" borderId="54" xfId="0" applyNumberFormat="1" applyFont="1" applyBorder="1" applyAlignment="1">
      <alignment horizontal="right" vertical="center"/>
    </xf>
    <xf numFmtId="4" fontId="80" fillId="0" borderId="53" xfId="0" applyNumberFormat="1" applyFont="1" applyBorder="1" applyAlignment="1">
      <alignment horizontal="right" vertical="center"/>
    </xf>
    <xf numFmtId="4" fontId="80" fillId="30" borderId="50" xfId="0" applyNumberFormat="1" applyFont="1" applyFill="1" applyBorder="1" applyAlignment="1">
      <alignment horizontal="right" vertical="center"/>
    </xf>
    <xf numFmtId="170" fontId="58" fillId="0" borderId="55" xfId="0" applyNumberFormat="1" applyFont="1" applyBorder="1" applyAlignment="1">
      <alignment horizontal="center" vertical="center"/>
    </xf>
    <xf numFmtId="0" fontId="90" fillId="0" borderId="16" xfId="0" applyFont="1" applyBorder="1" applyAlignment="1">
      <alignment horizontal="center" vertical="center" wrapText="1"/>
    </xf>
    <xf numFmtId="0" fontId="90" fillId="0" borderId="17" xfId="1" applyFont="1" applyBorder="1" applyAlignment="1">
      <alignment horizontal="center" vertical="center" textRotation="90" wrapText="1"/>
    </xf>
    <xf numFmtId="0" fontId="90" fillId="0" borderId="16" xfId="1" applyFont="1" applyBorder="1" applyAlignment="1">
      <alignment horizontal="center" vertical="center" textRotation="90" wrapText="1"/>
    </xf>
    <xf numFmtId="0" fontId="90" fillId="0" borderId="16" xfId="1" applyFont="1" applyBorder="1" applyAlignment="1">
      <alignment horizontal="center" vertical="center" wrapText="1"/>
    </xf>
    <xf numFmtId="0" fontId="80" fillId="0" borderId="23" xfId="0" applyFont="1" applyBorder="1" applyAlignment="1">
      <alignment vertical="center" wrapText="1"/>
    </xf>
    <xf numFmtId="0" fontId="80" fillId="0" borderId="13" xfId="0" applyFont="1" applyBorder="1" applyAlignment="1">
      <alignment wrapText="1"/>
    </xf>
    <xf numFmtId="0" fontId="80" fillId="0" borderId="23" xfId="0" applyFont="1" applyBorder="1" applyAlignment="1">
      <alignment horizontal="center" vertical="center"/>
    </xf>
    <xf numFmtId="0" fontId="80" fillId="30" borderId="23" xfId="0" applyFont="1" applyFill="1" applyBorder="1" applyAlignment="1">
      <alignment horizontal="center" vertical="center"/>
    </xf>
    <xf numFmtId="0" fontId="80" fillId="0" borderId="13" xfId="0" applyFont="1" applyBorder="1" applyAlignment="1">
      <alignment horizontal="center" vertical="center"/>
    </xf>
    <xf numFmtId="3" fontId="80" fillId="0" borderId="13" xfId="0" applyNumberFormat="1" applyFont="1" applyBorder="1" applyAlignment="1">
      <alignment horizontal="center" vertical="center"/>
    </xf>
    <xf numFmtId="0" fontId="80" fillId="30" borderId="13" xfId="0" applyFont="1" applyFill="1" applyBorder="1" applyAlignment="1">
      <alignment vertical="center" wrapText="1"/>
    </xf>
    <xf numFmtId="0" fontId="80" fillId="0" borderId="13" xfId="0" applyFont="1" applyBorder="1" applyAlignment="1">
      <alignment horizontal="center" vertical="center" wrapText="1"/>
    </xf>
    <xf numFmtId="0" fontId="80" fillId="0" borderId="23" xfId="0" applyFont="1" applyBorder="1" applyAlignment="1">
      <alignment wrapText="1"/>
    </xf>
    <xf numFmtId="0" fontId="80" fillId="30" borderId="39" xfId="0" applyFont="1" applyFill="1" applyBorder="1" applyAlignment="1">
      <alignment vertical="center" wrapText="1"/>
    </xf>
    <xf numFmtId="4" fontId="80" fillId="0" borderId="56" xfId="0" applyNumberFormat="1" applyFont="1" applyBorder="1" applyAlignment="1">
      <alignment horizontal="right" vertical="center" wrapText="1"/>
    </xf>
    <xf numFmtId="170" fontId="82" fillId="0" borderId="46" xfId="0" applyNumberFormat="1" applyFont="1" applyBorder="1" applyAlignment="1">
      <alignment horizontal="center" vertical="center"/>
    </xf>
    <xf numFmtId="0" fontId="94" fillId="0" borderId="16" xfId="1" applyFont="1" applyBorder="1" applyAlignment="1">
      <alignment horizontal="center" vertical="center" wrapText="1"/>
    </xf>
    <xf numFmtId="0" fontId="95" fillId="0" borderId="15" xfId="1" applyFont="1" applyBorder="1" applyAlignment="1">
      <alignment horizontal="center" vertical="center" wrapText="1"/>
    </xf>
    <xf numFmtId="0" fontId="96" fillId="0" borderId="0" xfId="0" applyFont="1" applyAlignment="1">
      <alignment horizontal="center" vertical="center"/>
    </xf>
    <xf numFmtId="0" fontId="71" fillId="31" borderId="0" xfId="0" applyFont="1" applyFill="1"/>
    <xf numFmtId="0" fontId="67" fillId="31" borderId="0" xfId="0" applyFont="1" applyFill="1"/>
    <xf numFmtId="0" fontId="78" fillId="31" borderId="0" xfId="0" applyFont="1" applyFill="1" applyAlignment="1">
      <alignment horizontal="center" vertical="center"/>
    </xf>
    <xf numFmtId="170" fontId="97" fillId="0" borderId="18" xfId="0" applyNumberFormat="1" applyFont="1" applyBorder="1" applyAlignment="1">
      <alignment horizontal="center" vertical="center"/>
    </xf>
    <xf numFmtId="171" fontId="97" fillId="0" borderId="13" xfId="0" applyNumberFormat="1" applyFont="1" applyBorder="1" applyAlignment="1">
      <alignment horizontal="center" vertical="center"/>
    </xf>
    <xf numFmtId="172" fontId="97" fillId="0" borderId="13" xfId="0" applyNumberFormat="1" applyFont="1" applyBorder="1" applyAlignment="1">
      <alignment horizontal="center" vertical="center"/>
    </xf>
    <xf numFmtId="0" fontId="97" fillId="0" borderId="13" xfId="0" applyFont="1" applyBorder="1" applyAlignment="1">
      <alignment horizontal="left" vertical="center" wrapText="1"/>
    </xf>
    <xf numFmtId="4" fontId="97" fillId="0" borderId="13" xfId="0" applyNumberFormat="1" applyFont="1" applyBorder="1" applyAlignment="1">
      <alignment horizontal="right" vertical="center"/>
    </xf>
    <xf numFmtId="172" fontId="98" fillId="0" borderId="13" xfId="0" applyNumberFormat="1" applyFont="1" applyBorder="1" applyAlignment="1">
      <alignment horizontal="center" vertical="center"/>
    </xf>
    <xf numFmtId="0" fontId="98" fillId="0" borderId="13" xfId="0" applyFont="1" applyBorder="1" applyAlignment="1">
      <alignment horizontal="left" vertical="center" wrapText="1"/>
    </xf>
    <xf numFmtId="4" fontId="98" fillId="0" borderId="13" xfId="0" applyNumberFormat="1" applyFont="1" applyBorder="1" applyAlignment="1">
      <alignment horizontal="right" vertical="center"/>
    </xf>
    <xf numFmtId="170" fontId="98" fillId="0" borderId="18" xfId="0" applyNumberFormat="1" applyFont="1" applyBorder="1" applyAlignment="1">
      <alignment horizontal="center" vertical="center"/>
    </xf>
    <xf numFmtId="171" fontId="98" fillId="0" borderId="13" xfId="0" applyNumberFormat="1" applyFont="1" applyBorder="1" applyAlignment="1">
      <alignment horizontal="center" vertical="center"/>
    </xf>
    <xf numFmtId="170" fontId="99" fillId="0" borderId="18" xfId="0" applyNumberFormat="1" applyFont="1" applyBorder="1" applyAlignment="1">
      <alignment horizontal="center" vertical="center"/>
    </xf>
    <xf numFmtId="171" fontId="99" fillId="0" borderId="13" xfId="0" applyNumberFormat="1" applyFont="1" applyBorder="1" applyAlignment="1">
      <alignment horizontal="center" vertical="center"/>
    </xf>
    <xf numFmtId="172" fontId="99" fillId="0" borderId="13" xfId="0" applyNumberFormat="1" applyFont="1" applyBorder="1" applyAlignment="1">
      <alignment horizontal="center" vertical="center"/>
    </xf>
    <xf numFmtId="0" fontId="79" fillId="0" borderId="13" xfId="0" applyFont="1" applyBorder="1" applyAlignment="1">
      <alignment horizontal="left" vertical="center" wrapText="1"/>
    </xf>
    <xf numFmtId="4" fontId="79" fillId="0" borderId="13" xfId="0" applyNumberFormat="1" applyFont="1" applyBorder="1" applyAlignment="1">
      <alignment horizontal="right" vertical="center"/>
    </xf>
    <xf numFmtId="170" fontId="91" fillId="0" borderId="0" xfId="0" applyNumberFormat="1" applyFont="1" applyAlignment="1">
      <alignment horizontal="center" vertical="center"/>
    </xf>
    <xf numFmtId="171" fontId="91" fillId="0" borderId="0" xfId="0" applyNumberFormat="1" applyFont="1" applyAlignment="1">
      <alignment horizontal="center" vertical="center"/>
    </xf>
    <xf numFmtId="172" fontId="91" fillId="0" borderId="0" xfId="0" applyNumberFormat="1" applyFont="1" applyAlignment="1">
      <alignment horizontal="center" vertical="center"/>
    </xf>
    <xf numFmtId="0" fontId="57" fillId="0" borderId="0" xfId="0" applyFont="1" applyAlignment="1">
      <alignment horizontal="left" vertical="center" wrapText="1"/>
    </xf>
    <xf numFmtId="4" fontId="57" fillId="0" borderId="0" xfId="0" applyNumberFormat="1" applyFont="1" applyAlignment="1">
      <alignment horizontal="right" vertical="center"/>
    </xf>
    <xf numFmtId="0" fontId="0" fillId="30" borderId="0" xfId="0" applyFill="1"/>
    <xf numFmtId="4" fontId="83" fillId="0" borderId="13" xfId="0" applyNumberFormat="1" applyFont="1" applyBorder="1" applyAlignment="1">
      <alignment horizontal="right" vertical="center"/>
    </xf>
    <xf numFmtId="170" fontId="83" fillId="0" borderId="18" xfId="0" applyNumberFormat="1" applyFont="1" applyBorder="1" applyAlignment="1">
      <alignment horizontal="center" vertical="center"/>
    </xf>
    <xf numFmtId="171" fontId="83" fillId="0" borderId="13" xfId="0" applyNumberFormat="1" applyFont="1" applyBorder="1" applyAlignment="1">
      <alignment horizontal="center" vertical="center"/>
    </xf>
    <xf numFmtId="172" fontId="83" fillId="0" borderId="13" xfId="0" applyNumberFormat="1" applyFont="1" applyBorder="1" applyAlignment="1">
      <alignment horizontal="center" vertical="center"/>
    </xf>
    <xf numFmtId="0" fontId="83" fillId="0" borderId="13" xfId="0" applyFont="1" applyBorder="1" applyAlignment="1">
      <alignment horizontal="left" vertical="center" wrapText="1"/>
    </xf>
    <xf numFmtId="170" fontId="91" fillId="0" borderId="18" xfId="0" applyNumberFormat="1" applyFont="1" applyBorder="1" applyAlignment="1">
      <alignment horizontal="center" vertical="center"/>
    </xf>
    <xf numFmtId="171" fontId="91" fillId="0" borderId="13" xfId="0" applyNumberFormat="1" applyFont="1" applyBorder="1" applyAlignment="1">
      <alignment horizontal="center" vertical="center"/>
    </xf>
    <xf numFmtId="172" fontId="91" fillId="0" borderId="13" xfId="0" applyNumberFormat="1" applyFont="1" applyBorder="1" applyAlignment="1">
      <alignment horizontal="center" vertical="center"/>
    </xf>
    <xf numFmtId="170" fontId="79" fillId="0" borderId="18" xfId="0" applyNumberFormat="1" applyFont="1" applyBorder="1" applyAlignment="1">
      <alignment horizontal="center" vertical="center"/>
    </xf>
    <xf numFmtId="171" fontId="79" fillId="0" borderId="13" xfId="0" applyNumberFormat="1" applyFont="1" applyBorder="1" applyAlignment="1">
      <alignment horizontal="center" vertical="center"/>
    </xf>
    <xf numFmtId="172" fontId="79" fillId="0" borderId="13" xfId="0" applyNumberFormat="1" applyFont="1" applyBorder="1" applyAlignment="1">
      <alignment horizontal="center" vertical="center"/>
    </xf>
    <xf numFmtId="0" fontId="57" fillId="0" borderId="30" xfId="0" applyFont="1" applyBorder="1" applyAlignment="1">
      <alignment horizontal="center" vertical="center" wrapText="1"/>
    </xf>
    <xf numFmtId="0" fontId="57" fillId="0" borderId="25" xfId="0" applyFont="1" applyBorder="1" applyAlignment="1">
      <alignment horizontal="center" vertical="center" wrapText="1"/>
    </xf>
    <xf numFmtId="4" fontId="57" fillId="0" borderId="25" xfId="0" applyNumberFormat="1" applyFont="1" applyBorder="1" applyAlignment="1">
      <alignment horizontal="right" vertical="center" wrapText="1"/>
    </xf>
    <xf numFmtId="0" fontId="97" fillId="0" borderId="0" xfId="0" applyFont="1" applyAlignment="1">
      <alignment vertical="center" wrapText="1"/>
    </xf>
    <xf numFmtId="172" fontId="75" fillId="0" borderId="13" xfId="0" applyNumberFormat="1" applyFont="1" applyBorder="1" applyAlignment="1">
      <alignment horizontal="center" vertical="center"/>
    </xf>
    <xf numFmtId="0" fontId="58" fillId="0" borderId="31" xfId="0" applyFont="1" applyBorder="1" applyAlignment="1">
      <alignment horizontal="center" vertical="center" wrapText="1"/>
    </xf>
    <xf numFmtId="0" fontId="58" fillId="0" borderId="32" xfId="0" applyFont="1" applyBorder="1" applyAlignment="1">
      <alignment horizontal="center" vertical="center" wrapText="1"/>
    </xf>
    <xf numFmtId="4" fontId="58" fillId="0" borderId="32" xfId="0" applyNumberFormat="1" applyFont="1" applyBorder="1" applyAlignment="1">
      <alignment horizontal="right" vertical="center" wrapText="1"/>
    </xf>
    <xf numFmtId="0" fontId="102" fillId="0" borderId="16" xfId="1" applyFont="1" applyBorder="1" applyAlignment="1">
      <alignment horizontal="center" vertical="center" wrapText="1"/>
    </xf>
    <xf numFmtId="0" fontId="100" fillId="0" borderId="17" xfId="1" applyFont="1" applyBorder="1" applyAlignment="1">
      <alignment horizontal="center" vertical="center" textRotation="90" wrapText="1"/>
    </xf>
    <xf numFmtId="0" fontId="100" fillId="0" borderId="16" xfId="1" applyFont="1" applyBorder="1" applyAlignment="1">
      <alignment horizontal="center" vertical="center" textRotation="90" wrapText="1"/>
    </xf>
    <xf numFmtId="0" fontId="100" fillId="0" borderId="16" xfId="1" applyFont="1" applyBorder="1" applyAlignment="1">
      <alignment horizontal="center" vertical="center" wrapText="1"/>
    </xf>
    <xf numFmtId="0" fontId="103" fillId="0" borderId="17" xfId="1" applyFont="1" applyBorder="1" applyAlignment="1">
      <alignment horizontal="center" vertical="center" textRotation="90" wrapText="1"/>
    </xf>
    <xf numFmtId="0" fontId="103" fillId="0" borderId="16" xfId="1" applyFont="1" applyBorder="1" applyAlignment="1">
      <alignment horizontal="center" vertical="center" textRotation="90" wrapText="1"/>
    </xf>
    <xf numFmtId="0" fontId="103" fillId="0" borderId="16" xfId="1" applyFont="1" applyBorder="1" applyAlignment="1">
      <alignment horizontal="center" vertical="center" wrapText="1"/>
    </xf>
    <xf numFmtId="0" fontId="90" fillId="0" borderId="14" xfId="1" applyFont="1" applyBorder="1" applyAlignment="1">
      <alignment horizontal="center" vertical="center" wrapText="1"/>
    </xf>
    <xf numFmtId="0" fontId="90" fillId="0" borderId="15" xfId="1" applyFont="1" applyBorder="1" applyAlignment="1">
      <alignment horizontal="center" vertical="center" wrapText="1"/>
    </xf>
    <xf numFmtId="0" fontId="103" fillId="0" borderId="15" xfId="1" applyFont="1" applyBorder="1" applyAlignment="1">
      <alignment horizontal="center" vertical="center" wrapText="1"/>
    </xf>
    <xf numFmtId="4" fontId="58" fillId="0" borderId="39" xfId="0" applyNumberFormat="1" applyFont="1" applyBorder="1" applyAlignment="1">
      <alignment horizontal="right" vertical="center"/>
    </xf>
    <xf numFmtId="4" fontId="70" fillId="0" borderId="53" xfId="0" applyNumberFormat="1" applyFont="1" applyBorder="1" applyAlignment="1">
      <alignment horizontal="right" vertical="center"/>
    </xf>
    <xf numFmtId="4" fontId="57" fillId="0" borderId="39" xfId="0" applyNumberFormat="1" applyFont="1" applyBorder="1" applyAlignment="1">
      <alignment horizontal="right" vertical="center"/>
    </xf>
    <xf numFmtId="0" fontId="67" fillId="0" borderId="34" xfId="0" applyFont="1" applyBorder="1" applyAlignment="1">
      <alignment horizontal="center"/>
    </xf>
    <xf numFmtId="0" fontId="68" fillId="0" borderId="34" xfId="0" applyFont="1" applyBorder="1" applyAlignment="1">
      <alignment horizontal="center"/>
    </xf>
    <xf numFmtId="0" fontId="66" fillId="0" borderId="34" xfId="0" applyFont="1" applyBorder="1" applyAlignment="1">
      <alignment horizontal="center"/>
    </xf>
    <xf numFmtId="0" fontId="102" fillId="0" borderId="19" xfId="1" applyFont="1" applyBorder="1" applyAlignment="1">
      <alignment horizontal="center" vertical="center" wrapText="1"/>
    </xf>
    <xf numFmtId="0" fontId="95" fillId="0" borderId="57" xfId="1" applyFont="1" applyBorder="1" applyAlignment="1">
      <alignment horizontal="center" vertical="center" wrapText="1"/>
    </xf>
    <xf numFmtId="0" fontId="67" fillId="0" borderId="50" xfId="0" applyFont="1" applyBorder="1"/>
    <xf numFmtId="4" fontId="57" fillId="0" borderId="20" xfId="0" applyNumberFormat="1" applyFont="1" applyBorder="1" applyAlignment="1">
      <alignment horizontal="right" vertical="center"/>
    </xf>
    <xf numFmtId="4" fontId="58" fillId="0" borderId="20" xfId="0" applyNumberFormat="1" applyFont="1" applyBorder="1" applyAlignment="1">
      <alignment horizontal="right" vertical="center"/>
    </xf>
    <xf numFmtId="4" fontId="58" fillId="0" borderId="53" xfId="0" applyNumberFormat="1" applyFont="1" applyBorder="1" applyAlignment="1">
      <alignment horizontal="right" vertical="center"/>
    </xf>
    <xf numFmtId="4" fontId="70" fillId="0" borderId="58" xfId="0" applyNumberFormat="1" applyFont="1" applyBorder="1" applyAlignment="1">
      <alignment horizontal="right" vertical="center"/>
    </xf>
    <xf numFmtId="4" fontId="70" fillId="0" borderId="59" xfId="0" applyNumberFormat="1" applyFont="1" applyBorder="1" applyAlignment="1">
      <alignment horizontal="right" vertical="center"/>
    </xf>
    <xf numFmtId="4" fontId="64" fillId="0" borderId="60" xfId="0" applyNumberFormat="1" applyFont="1" applyBorder="1" applyAlignment="1">
      <alignment horizontal="right" vertical="center"/>
    </xf>
    <xf numFmtId="171" fontId="70" fillId="0" borderId="35" xfId="0" applyNumberFormat="1" applyFont="1" applyBorder="1" applyAlignment="1">
      <alignment horizontal="center" vertical="center"/>
    </xf>
    <xf numFmtId="172" fontId="70" fillId="0" borderId="35" xfId="0" applyNumberFormat="1" applyFont="1" applyBorder="1" applyAlignment="1">
      <alignment horizontal="center" vertical="center"/>
    </xf>
    <xf numFmtId="0" fontId="70" fillId="0" borderId="35" xfId="0" applyFont="1" applyBorder="1" applyAlignment="1">
      <alignment horizontal="left" vertical="center" wrapText="1"/>
    </xf>
    <xf numFmtId="4" fontId="70" fillId="0" borderId="35" xfId="0" applyNumberFormat="1" applyFont="1" applyBorder="1" applyAlignment="1">
      <alignment horizontal="right" vertical="center"/>
    </xf>
    <xf numFmtId="4" fontId="70" fillId="0" borderId="50" xfId="0" applyNumberFormat="1" applyFont="1" applyBorder="1" applyAlignment="1">
      <alignment horizontal="right" vertical="center"/>
    </xf>
    <xf numFmtId="170" fontId="70" fillId="0" borderId="46" xfId="0" applyNumberFormat="1" applyFont="1" applyBorder="1" applyAlignment="1">
      <alignment horizontal="center" vertical="center"/>
    </xf>
    <xf numFmtId="171" fontId="70" fillId="0" borderId="47" xfId="0" applyNumberFormat="1" applyFont="1" applyBorder="1" applyAlignment="1">
      <alignment horizontal="center" vertical="center"/>
    </xf>
    <xf numFmtId="172" fontId="70" fillId="0" borderId="47" xfId="0" applyNumberFormat="1" applyFont="1" applyBorder="1" applyAlignment="1">
      <alignment horizontal="center" vertical="center"/>
    </xf>
    <xf numFmtId="0" fontId="64" fillId="0" borderId="47" xfId="0" applyFont="1" applyBorder="1" applyAlignment="1">
      <alignment horizontal="left" vertical="center" wrapText="1"/>
    </xf>
    <xf numFmtId="4" fontId="64" fillId="0" borderId="47" xfId="0" applyNumberFormat="1" applyFont="1" applyBorder="1" applyAlignment="1">
      <alignment horizontal="right" vertical="center"/>
    </xf>
    <xf numFmtId="0" fontId="93" fillId="0" borderId="0" xfId="0" applyFont="1" applyAlignment="1">
      <alignment horizontal="right" vertical="center"/>
    </xf>
    <xf numFmtId="170" fontId="70" fillId="0" borderId="0" xfId="0" applyNumberFormat="1" applyFont="1" applyAlignment="1">
      <alignment horizontal="center" vertical="center"/>
    </xf>
    <xf numFmtId="171" fontId="70" fillId="0" borderId="0" xfId="0" applyNumberFormat="1" applyFont="1" applyAlignment="1">
      <alignment horizontal="center" vertical="center"/>
    </xf>
    <xf numFmtId="172" fontId="70" fillId="0" borderId="0" xfId="0" applyNumberFormat="1" applyFont="1" applyAlignment="1">
      <alignment horizontal="center" vertical="center"/>
    </xf>
    <xf numFmtId="0" fontId="64" fillId="0" borderId="0" xfId="0" applyFont="1" applyAlignment="1">
      <alignment horizontal="left" vertical="center" wrapText="1"/>
    </xf>
    <xf numFmtId="4" fontId="64" fillId="0" borderId="0" xfId="0" applyNumberFormat="1" applyFont="1" applyAlignment="1">
      <alignment horizontal="right" vertical="center"/>
    </xf>
    <xf numFmtId="0" fontId="66" fillId="0" borderId="0" xfId="0" applyFont="1" applyAlignment="1">
      <alignment horizontal="right" vertical="center"/>
    </xf>
    <xf numFmtId="0" fontId="101" fillId="0" borderId="17" xfId="1" applyFont="1" applyBorder="1" applyAlignment="1">
      <alignment horizontal="center" vertical="center" textRotation="90" wrapText="1"/>
    </xf>
    <xf numFmtId="0" fontId="101" fillId="0" borderId="16" xfId="1" applyFont="1" applyBorder="1" applyAlignment="1">
      <alignment horizontal="center" vertical="center" textRotation="90" wrapText="1"/>
    </xf>
    <xf numFmtId="0" fontId="101" fillId="0" borderId="16" xfId="1" applyFont="1" applyBorder="1" applyAlignment="1">
      <alignment horizontal="center" vertical="center" wrapText="1"/>
    </xf>
    <xf numFmtId="4" fontId="58" fillId="0" borderId="19" xfId="0" applyNumberFormat="1" applyFont="1" applyBorder="1" applyAlignment="1">
      <alignment horizontal="right" vertical="center"/>
    </xf>
    <xf numFmtId="170" fontId="70" fillId="0" borderId="55" xfId="0" applyNumberFormat="1" applyFont="1" applyBorder="1" applyAlignment="1">
      <alignment horizontal="center" vertical="center"/>
    </xf>
    <xf numFmtId="4" fontId="64" fillId="0" borderId="48" xfId="0" applyNumberFormat="1" applyFont="1" applyBorder="1" applyAlignment="1">
      <alignment horizontal="right" vertical="center"/>
    </xf>
    <xf numFmtId="0" fontId="94" fillId="0" borderId="19" xfId="1" applyFont="1" applyBorder="1" applyAlignment="1">
      <alignment horizontal="center" vertical="center" wrapText="1"/>
    </xf>
    <xf numFmtId="0" fontId="0" fillId="0" borderId="50" xfId="0" applyBorder="1"/>
    <xf numFmtId="0" fontId="0" fillId="0" borderId="49" xfId="0" applyBorder="1"/>
    <xf numFmtId="4" fontId="72" fillId="0" borderId="20" xfId="0" applyNumberFormat="1" applyFont="1" applyBorder="1" applyAlignment="1">
      <alignment horizontal="right" vertical="center"/>
    </xf>
    <xf numFmtId="4" fontId="58" fillId="30" borderId="20" xfId="0" applyNumberFormat="1" applyFont="1" applyFill="1" applyBorder="1" applyAlignment="1">
      <alignment horizontal="right" vertical="center"/>
    </xf>
    <xf numFmtId="170" fontId="58" fillId="0" borderId="14" xfId="0" applyNumberFormat="1" applyFont="1" applyBorder="1" applyAlignment="1">
      <alignment horizontal="center" vertical="center"/>
    </xf>
    <xf numFmtId="171" fontId="58" fillId="0" borderId="21" xfId="0" applyNumberFormat="1" applyFont="1" applyBorder="1" applyAlignment="1">
      <alignment horizontal="center" vertical="center"/>
    </xf>
    <xf numFmtId="172" fontId="58" fillId="0" borderId="21" xfId="0" applyNumberFormat="1" applyFont="1" applyBorder="1" applyAlignment="1">
      <alignment horizontal="center" vertical="center"/>
    </xf>
    <xf numFmtId="0" fontId="58" fillId="0" borderId="21" xfId="0" applyFont="1" applyBorder="1" applyAlignment="1">
      <alignment horizontal="left" vertical="center" wrapText="1"/>
    </xf>
    <xf numFmtId="4" fontId="58" fillId="0" borderId="21" xfId="0" applyNumberFormat="1" applyFont="1" applyBorder="1" applyAlignment="1">
      <alignment horizontal="right" vertical="center"/>
    </xf>
    <xf numFmtId="0" fontId="77" fillId="0" borderId="0" xfId="0" applyFont="1" applyAlignment="1">
      <alignment horizontal="center" vertical="center"/>
    </xf>
    <xf numFmtId="0" fontId="81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60" fillId="0" borderId="0" xfId="0" applyFont="1" applyAlignment="1">
      <alignment horizontal="center" vertical="center"/>
    </xf>
    <xf numFmtId="0" fontId="109" fillId="0" borderId="0" xfId="0" applyFont="1" applyAlignment="1">
      <alignment vertical="center"/>
    </xf>
    <xf numFmtId="0" fontId="60" fillId="0" borderId="0" xfId="0" applyFont="1" applyAlignment="1">
      <alignment vertical="center"/>
    </xf>
    <xf numFmtId="0" fontId="60" fillId="0" borderId="61" xfId="0" applyFont="1" applyBorder="1" applyAlignment="1">
      <alignment horizontal="center" vertical="center" wrapText="1"/>
    </xf>
    <xf numFmtId="0" fontId="61" fillId="0" borderId="64" xfId="0" applyFont="1" applyBorder="1" applyAlignment="1">
      <alignment vertical="center" wrapText="1"/>
    </xf>
    <xf numFmtId="0" fontId="57" fillId="0" borderId="64" xfId="0" applyFont="1" applyBorder="1" applyAlignment="1">
      <alignment horizontal="center" vertical="center" wrapText="1"/>
    </xf>
    <xf numFmtId="0" fontId="0" fillId="0" borderId="64" xfId="0" applyBorder="1" applyAlignment="1">
      <alignment vertical="top" wrapText="1"/>
    </xf>
    <xf numFmtId="0" fontId="0" fillId="0" borderId="66" xfId="0" applyBorder="1" applyAlignment="1">
      <alignment vertical="top" wrapText="1"/>
    </xf>
    <xf numFmtId="0" fontId="60" fillId="0" borderId="0" xfId="0" applyFont="1" applyAlignment="1">
      <alignment horizontal="justify" vertical="center"/>
    </xf>
    <xf numFmtId="0" fontId="110" fillId="0" borderId="25" xfId="0" applyFont="1" applyBorder="1" applyAlignment="1">
      <alignment vertical="center" wrapText="1"/>
    </xf>
    <xf numFmtId="0" fontId="110" fillId="0" borderId="65" xfId="0" applyFont="1" applyBorder="1" applyAlignment="1">
      <alignment horizontal="center" vertical="center" wrapText="1"/>
    </xf>
    <xf numFmtId="0" fontId="110" fillId="0" borderId="67" xfId="0" applyFont="1" applyBorder="1" applyAlignment="1">
      <alignment vertical="center" wrapText="1"/>
    </xf>
    <xf numFmtId="0" fontId="110" fillId="0" borderId="68" xfId="0" applyFont="1" applyBorder="1" applyAlignment="1">
      <alignment horizontal="center" vertical="center" wrapText="1"/>
    </xf>
    <xf numFmtId="0" fontId="111" fillId="0" borderId="0" xfId="0" applyFont="1" applyAlignment="1">
      <alignment vertical="center"/>
    </xf>
    <xf numFmtId="0" fontId="79" fillId="0" borderId="0" xfId="0" applyFont="1"/>
    <xf numFmtId="0" fontId="79" fillId="0" borderId="0" xfId="0" applyFont="1" applyAlignment="1">
      <alignment vertical="center"/>
    </xf>
    <xf numFmtId="0" fontId="78" fillId="0" borderId="0" xfId="0" applyFont="1" applyAlignment="1">
      <alignment horizontal="center" vertical="center"/>
    </xf>
    <xf numFmtId="0" fontId="78" fillId="0" borderId="0" xfId="0" applyFont="1" applyAlignment="1">
      <alignment vertical="center"/>
    </xf>
    <xf numFmtId="0" fontId="78" fillId="0" borderId="0" xfId="0" applyFont="1" applyAlignment="1">
      <alignment horizontal="justify" vertical="center"/>
    </xf>
    <xf numFmtId="0" fontId="78" fillId="0" borderId="26" xfId="0" applyFont="1" applyBorder="1" applyAlignment="1">
      <alignment vertical="center" wrapText="1"/>
    </xf>
    <xf numFmtId="0" fontId="78" fillId="0" borderId="27" xfId="0" applyFont="1" applyBorder="1" applyAlignment="1">
      <alignment vertical="center" wrapText="1"/>
    </xf>
    <xf numFmtId="0" fontId="78" fillId="0" borderId="30" xfId="0" applyFont="1" applyBorder="1" applyAlignment="1">
      <alignment horizontal="center" vertical="center" wrapText="1"/>
    </xf>
    <xf numFmtId="0" fontId="78" fillId="0" borderId="25" xfId="0" applyFont="1" applyBorder="1" applyAlignment="1">
      <alignment horizontal="center" vertical="center" wrapText="1"/>
    </xf>
    <xf numFmtId="0" fontId="79" fillId="0" borderId="31" xfId="0" applyFont="1" applyBorder="1" applyAlignment="1">
      <alignment vertical="center" wrapText="1"/>
    </xf>
    <xf numFmtId="0" fontId="79" fillId="0" borderId="32" xfId="0" applyFont="1" applyBorder="1" applyAlignment="1">
      <alignment vertical="top" wrapText="1"/>
    </xf>
    <xf numFmtId="0" fontId="79" fillId="0" borderId="31" xfId="0" applyFont="1" applyBorder="1" applyAlignment="1">
      <alignment horizontal="center" vertical="center" wrapText="1"/>
    </xf>
    <xf numFmtId="0" fontId="79" fillId="0" borderId="32" xfId="0" applyFont="1" applyBorder="1" applyAlignment="1">
      <alignment horizontal="center" vertical="center" wrapText="1"/>
    </xf>
    <xf numFmtId="0" fontId="79" fillId="0" borderId="30" xfId="0" applyFont="1" applyBorder="1" applyAlignment="1">
      <alignment horizontal="center" vertical="center" wrapText="1"/>
    </xf>
    <xf numFmtId="0" fontId="79" fillId="0" borderId="25" xfId="0" applyFont="1" applyBorder="1" applyAlignment="1">
      <alignment horizontal="center" vertical="center" wrapText="1"/>
    </xf>
    <xf numFmtId="0" fontId="79" fillId="0" borderId="25" xfId="0" applyFont="1" applyBorder="1" applyAlignment="1">
      <alignment vertical="center" wrapText="1"/>
    </xf>
    <xf numFmtId="49" fontId="79" fillId="0" borderId="25" xfId="0" applyNumberFormat="1" applyFont="1" applyBorder="1" applyAlignment="1">
      <alignment horizontal="center" vertical="center" wrapText="1"/>
    </xf>
    <xf numFmtId="4" fontId="79" fillId="0" borderId="25" xfId="0" applyNumberFormat="1" applyFont="1" applyBorder="1" applyAlignment="1">
      <alignment horizontal="center" vertical="center" wrapText="1"/>
    </xf>
    <xf numFmtId="0" fontId="79" fillId="0" borderId="30" xfId="0" applyFont="1" applyBorder="1" applyAlignment="1">
      <alignment vertical="center" wrapText="1"/>
    </xf>
    <xf numFmtId="0" fontId="79" fillId="0" borderId="25" xfId="0" applyFont="1" applyBorder="1" applyAlignment="1">
      <alignment vertical="top" wrapText="1"/>
    </xf>
    <xf numFmtId="0" fontId="0" fillId="0" borderId="0" xfId="0" applyAlignment="1">
      <alignment vertical="center"/>
    </xf>
    <xf numFmtId="0" fontId="77" fillId="0" borderId="0" xfId="0" applyFont="1" applyAlignment="1">
      <alignment horizontal="justify" vertical="center"/>
    </xf>
    <xf numFmtId="0" fontId="62" fillId="0" borderId="0" xfId="0" applyFont="1" applyAlignment="1">
      <alignment horizontal="justify" vertical="center"/>
    </xf>
    <xf numFmtId="0" fontId="107" fillId="0" borderId="26" xfId="0" applyFont="1" applyBorder="1" applyAlignment="1">
      <alignment vertical="center" wrapText="1"/>
    </xf>
    <xf numFmtId="0" fontId="107" fillId="0" borderId="27" xfId="0" applyFont="1" applyBorder="1" applyAlignment="1">
      <alignment vertical="center" wrapText="1"/>
    </xf>
    <xf numFmtId="0" fontId="107" fillId="0" borderId="32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83" fillId="0" borderId="31" xfId="0" applyFont="1" applyBorder="1" applyAlignment="1">
      <alignment horizontal="center" vertical="center" wrapText="1"/>
    </xf>
    <xf numFmtId="0" fontId="83" fillId="0" borderId="32" xfId="0" applyFont="1" applyBorder="1" applyAlignment="1">
      <alignment horizontal="center"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57" fillId="0" borderId="26" xfId="0" applyFont="1" applyBorder="1" applyAlignment="1">
      <alignment vertical="center" wrapText="1"/>
    </xf>
    <xf numFmtId="0" fontId="83" fillId="0" borderId="30" xfId="0" applyFont="1" applyBorder="1" applyAlignment="1">
      <alignment vertical="center" wrapText="1"/>
    </xf>
    <xf numFmtId="0" fontId="83" fillId="0" borderId="25" xfId="0" applyFont="1" applyBorder="1" applyAlignment="1">
      <alignment vertical="center" wrapText="1"/>
    </xf>
    <xf numFmtId="0" fontId="83" fillId="0" borderId="25" xfId="0" applyFont="1" applyBorder="1" applyAlignment="1">
      <alignment horizontal="center" vertical="center" wrapText="1"/>
    </xf>
    <xf numFmtId="4" fontId="0" fillId="0" borderId="30" xfId="0" applyNumberFormat="1" applyBorder="1" applyAlignment="1">
      <alignment horizontal="right" vertical="center" wrapText="1"/>
    </xf>
    <xf numFmtId="0" fontId="0" fillId="0" borderId="31" xfId="0" applyBorder="1" applyAlignment="1">
      <alignment vertical="top" wrapText="1"/>
    </xf>
    <xf numFmtId="0" fontId="0" fillId="0" borderId="32" xfId="0" applyBorder="1" applyAlignment="1">
      <alignment vertical="top" wrapText="1"/>
    </xf>
    <xf numFmtId="0" fontId="0" fillId="0" borderId="31" xfId="0" applyBorder="1"/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77" fillId="0" borderId="0" xfId="0" applyFont="1" applyAlignment="1">
      <alignment vertical="center"/>
    </xf>
    <xf numFmtId="0" fontId="107" fillId="0" borderId="26" xfId="0" applyFont="1" applyBorder="1" applyAlignment="1">
      <alignment horizontal="center" vertical="center" wrapText="1"/>
    </xf>
    <xf numFmtId="0" fontId="107" fillId="0" borderId="27" xfId="0" applyFont="1" applyBorder="1" applyAlignment="1">
      <alignment horizontal="center" vertical="center" wrapText="1"/>
    </xf>
    <xf numFmtId="0" fontId="107" fillId="0" borderId="30" xfId="0" applyFont="1" applyBorder="1" applyAlignment="1">
      <alignment horizontal="center" vertical="center" wrapText="1"/>
    </xf>
    <xf numFmtId="0" fontId="107" fillId="0" borderId="25" xfId="0" applyFont="1" applyBorder="1" applyAlignment="1">
      <alignment horizontal="center" vertical="center" wrapText="1"/>
    </xf>
    <xf numFmtId="0" fontId="107" fillId="0" borderId="31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6" xfId="0" applyBorder="1" applyAlignment="1">
      <alignment horizontal="justify" vertical="center" wrapText="1"/>
    </xf>
    <xf numFmtId="0" fontId="0" fillId="0" borderId="27" xfId="0" applyBorder="1" applyAlignment="1">
      <alignment horizontal="justify" vertical="center" wrapText="1"/>
    </xf>
    <xf numFmtId="0" fontId="83" fillId="0" borderId="30" xfId="0" applyFont="1" applyBorder="1" applyAlignment="1">
      <alignment horizontal="center" vertical="center" wrapText="1"/>
    </xf>
    <xf numFmtId="4" fontId="83" fillId="0" borderId="30" xfId="0" applyNumberFormat="1" applyFont="1" applyBorder="1" applyAlignment="1">
      <alignment horizontal="right" vertical="center" wrapText="1"/>
    </xf>
    <xf numFmtId="4" fontId="112" fillId="0" borderId="30" xfId="0" applyNumberFormat="1" applyFont="1" applyBorder="1" applyAlignment="1">
      <alignment horizontal="right" vertical="center" wrapText="1"/>
    </xf>
    <xf numFmtId="0" fontId="83" fillId="0" borderId="25" xfId="0" applyFont="1" applyBorder="1" applyAlignment="1">
      <alignment horizontal="right" vertical="center" wrapText="1"/>
    </xf>
    <xf numFmtId="4" fontId="83" fillId="0" borderId="25" xfId="0" applyNumberFormat="1" applyFont="1" applyBorder="1" applyAlignment="1">
      <alignment horizontal="right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5" xfId="0" applyBorder="1" applyAlignment="1">
      <alignment horizontal="justify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2" xfId="0" applyBorder="1" applyAlignment="1">
      <alignment horizontal="justify" vertical="center" wrapText="1"/>
    </xf>
    <xf numFmtId="0" fontId="0" fillId="0" borderId="32" xfId="0" applyBorder="1" applyAlignment="1">
      <alignment horizontal="right" vertical="center" wrapText="1"/>
    </xf>
    <xf numFmtId="0" fontId="0" fillId="0" borderId="0" xfId="0" applyAlignment="1">
      <alignment horizontal="justify" vertical="center"/>
    </xf>
    <xf numFmtId="0" fontId="107" fillId="0" borderId="0" xfId="0" applyFont="1" applyAlignment="1">
      <alignment horizontal="justify" vertical="center"/>
    </xf>
    <xf numFmtId="0" fontId="53" fillId="0" borderId="0" xfId="0" applyFont="1" applyAlignment="1">
      <alignment horizontal="justify" vertical="center"/>
    </xf>
    <xf numFmtId="0" fontId="57" fillId="0" borderId="0" xfId="0" applyFont="1"/>
    <xf numFmtId="0" fontId="76" fillId="31" borderId="0" xfId="0" applyFont="1" applyFill="1"/>
    <xf numFmtId="0" fontId="58" fillId="31" borderId="0" xfId="0" applyFont="1" applyFill="1"/>
    <xf numFmtId="0" fontId="76" fillId="31" borderId="0" xfId="0" applyFont="1" applyFill="1" applyAlignment="1">
      <alignment horizontal="center" vertical="center"/>
    </xf>
    <xf numFmtId="0" fontId="76" fillId="0" borderId="17" xfId="1" applyFont="1" applyBorder="1" applyAlignment="1">
      <alignment horizontal="center" vertical="center" textRotation="90" wrapText="1"/>
    </xf>
    <xf numFmtId="0" fontId="76" fillId="0" borderId="16" xfId="1" applyFont="1" applyBorder="1" applyAlignment="1">
      <alignment horizontal="center" vertical="center" textRotation="90" wrapText="1"/>
    </xf>
    <xf numFmtId="0" fontId="76" fillId="0" borderId="16" xfId="1" applyFont="1" applyBorder="1" applyAlignment="1">
      <alignment horizontal="center" vertical="center" wrapText="1"/>
    </xf>
    <xf numFmtId="0" fontId="108" fillId="0" borderId="16" xfId="1" applyFont="1" applyBorder="1" applyAlignment="1">
      <alignment horizontal="center" vertical="center" wrapText="1"/>
    </xf>
    <xf numFmtId="0" fontId="76" fillId="0" borderId="14" xfId="1" applyFont="1" applyBorder="1" applyAlignment="1">
      <alignment horizontal="center" vertical="center" wrapText="1"/>
    </xf>
    <xf numFmtId="0" fontId="76" fillId="0" borderId="15" xfId="1" applyFont="1" applyBorder="1" applyAlignment="1">
      <alignment horizontal="center" vertical="center" wrapText="1"/>
    </xf>
    <xf numFmtId="0" fontId="76" fillId="0" borderId="17" xfId="1" applyFont="1" applyBorder="1" applyAlignment="1">
      <alignment horizontal="center" vertical="center" wrapText="1"/>
    </xf>
    <xf numFmtId="170" fontId="72" fillId="0" borderId="0" xfId="0" applyNumberFormat="1" applyFont="1" applyAlignment="1">
      <alignment horizontal="center" vertical="center"/>
    </xf>
    <xf numFmtId="171" fontId="72" fillId="0" borderId="0" xfId="0" applyNumberFormat="1" applyFont="1" applyAlignment="1">
      <alignment horizontal="center" vertical="center"/>
    </xf>
    <xf numFmtId="172" fontId="72" fillId="0" borderId="0" xfId="0" applyNumberFormat="1" applyFont="1" applyAlignment="1">
      <alignment horizontal="center" vertical="center"/>
    </xf>
    <xf numFmtId="0" fontId="72" fillId="0" borderId="0" xfId="0" applyFont="1" applyAlignment="1">
      <alignment horizontal="left" vertical="center" wrapText="1"/>
    </xf>
    <xf numFmtId="4" fontId="72" fillId="0" borderId="0" xfId="0" applyNumberFormat="1" applyFont="1" applyAlignment="1">
      <alignment horizontal="right" vertical="center"/>
    </xf>
    <xf numFmtId="0" fontId="72" fillId="0" borderId="0" xfId="0" applyFont="1"/>
    <xf numFmtId="0" fontId="58" fillId="0" borderId="0" xfId="0" applyFont="1"/>
    <xf numFmtId="0" fontId="58" fillId="30" borderId="0" xfId="0" applyFont="1" applyFill="1"/>
    <xf numFmtId="0" fontId="80" fillId="0" borderId="0" xfId="0" applyFont="1"/>
    <xf numFmtId="0" fontId="76" fillId="0" borderId="0" xfId="0" applyFont="1" applyAlignment="1">
      <alignment vertical="center"/>
    </xf>
    <xf numFmtId="0" fontId="75" fillId="0" borderId="0" xfId="0" applyFont="1"/>
    <xf numFmtId="0" fontId="100" fillId="0" borderId="0" xfId="0" applyFont="1" applyAlignment="1">
      <alignment vertical="center"/>
    </xf>
    <xf numFmtId="0" fontId="76" fillId="0" borderId="70" xfId="0" applyFont="1" applyBorder="1" applyAlignment="1">
      <alignment horizontal="center" vertical="center"/>
    </xf>
    <xf numFmtId="0" fontId="76" fillId="0" borderId="33" xfId="0" applyFont="1" applyBorder="1" applyAlignment="1">
      <alignment horizontal="center" vertical="center"/>
    </xf>
    <xf numFmtId="0" fontId="76" fillId="0" borderId="32" xfId="0" applyFont="1" applyBorder="1" applyAlignment="1">
      <alignment horizontal="center" vertical="center"/>
    </xf>
    <xf numFmtId="3" fontId="58" fillId="0" borderId="0" xfId="0" applyNumberFormat="1" applyFont="1" applyAlignment="1">
      <alignment horizontal="center" vertical="center"/>
    </xf>
    <xf numFmtId="0" fontId="80" fillId="0" borderId="73" xfId="0" applyFont="1" applyBorder="1" applyAlignment="1">
      <alignment vertical="center"/>
    </xf>
    <xf numFmtId="0" fontId="80" fillId="0" borderId="0" xfId="0" applyFont="1" applyAlignment="1">
      <alignment vertical="center"/>
    </xf>
    <xf numFmtId="0" fontId="80" fillId="0" borderId="25" xfId="0" applyFont="1" applyBorder="1" applyAlignment="1">
      <alignment vertical="center"/>
    </xf>
    <xf numFmtId="0" fontId="80" fillId="0" borderId="30" xfId="0" applyFont="1" applyBorder="1"/>
    <xf numFmtId="0" fontId="58" fillId="0" borderId="73" xfId="0" applyFont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8" fillId="0" borderId="25" xfId="0" applyFont="1" applyBorder="1" applyAlignment="1">
      <alignment horizontal="center" vertical="center"/>
    </xf>
    <xf numFmtId="4" fontId="58" fillId="0" borderId="30" xfId="0" applyNumberFormat="1" applyFont="1" applyBorder="1" applyAlignment="1">
      <alignment horizontal="right"/>
    </xf>
    <xf numFmtId="4" fontId="80" fillId="0" borderId="30" xfId="0" applyNumberFormat="1" applyFont="1" applyBorder="1" applyAlignment="1">
      <alignment horizontal="right"/>
    </xf>
    <xf numFmtId="4" fontId="58" fillId="0" borderId="30" xfId="0" applyNumberFormat="1" applyFont="1" applyBorder="1" applyAlignment="1">
      <alignment horizontal="right" vertical="center"/>
    </xf>
    <xf numFmtId="4" fontId="75" fillId="0" borderId="0" xfId="0" applyNumberFormat="1" applyFont="1"/>
    <xf numFmtId="0" fontId="58" fillId="0" borderId="73" xfId="0" applyFont="1" applyBorder="1"/>
    <xf numFmtId="0" fontId="58" fillId="0" borderId="25" xfId="0" applyFont="1" applyBorder="1"/>
    <xf numFmtId="0" fontId="58" fillId="0" borderId="73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25" xfId="0" applyFont="1" applyBorder="1" applyAlignment="1">
      <alignment horizontal="center"/>
    </xf>
    <xf numFmtId="0" fontId="80" fillId="0" borderId="73" xfId="0" applyFont="1" applyBorder="1"/>
    <xf numFmtId="0" fontId="80" fillId="0" borderId="25" xfId="0" applyFont="1" applyBorder="1"/>
    <xf numFmtId="4" fontId="76" fillId="0" borderId="76" xfId="0" applyNumberFormat="1" applyFont="1" applyBorder="1" applyAlignment="1">
      <alignment horizontal="right" vertical="center"/>
    </xf>
    <xf numFmtId="4" fontId="76" fillId="0" borderId="0" xfId="0" applyNumberFormat="1" applyFont="1"/>
    <xf numFmtId="0" fontId="55" fillId="0" borderId="0" xfId="0" applyFont="1" applyAlignment="1">
      <alignment horizontal="center"/>
    </xf>
    <xf numFmtId="4" fontId="76" fillId="0" borderId="0" xfId="0" applyNumberFormat="1" applyFont="1" applyAlignment="1">
      <alignment horizontal="left" vertical="center"/>
    </xf>
    <xf numFmtId="0" fontId="100" fillId="0" borderId="62" xfId="0" applyFont="1" applyBorder="1" applyAlignment="1">
      <alignment horizontal="center" vertical="center" wrapText="1"/>
    </xf>
    <xf numFmtId="0" fontId="100" fillId="0" borderId="63" xfId="0" applyFont="1" applyBorder="1" applyAlignment="1">
      <alignment horizontal="center" vertical="center" wrapText="1"/>
    </xf>
    <xf numFmtId="0" fontId="113" fillId="0" borderId="25" xfId="0" applyFont="1" applyBorder="1" applyAlignment="1">
      <alignment vertical="center" wrapText="1"/>
    </xf>
    <xf numFmtId="0" fontId="113" fillId="0" borderId="65" xfId="0" applyFont="1" applyBorder="1" applyAlignment="1">
      <alignment horizontal="center" vertical="center" wrapText="1"/>
    </xf>
    <xf numFmtId="0" fontId="58" fillId="0" borderId="25" xfId="0" applyFont="1" applyBorder="1" applyAlignment="1">
      <alignment vertical="center" wrapText="1"/>
    </xf>
    <xf numFmtId="4" fontId="113" fillId="0" borderId="65" xfId="0" applyNumberFormat="1" applyFont="1" applyBorder="1" applyAlignment="1">
      <alignment horizontal="right" vertical="center" wrapText="1"/>
    </xf>
    <xf numFmtId="0" fontId="100" fillId="0" borderId="0" xfId="0" applyFont="1" applyAlignment="1">
      <alignment horizontal="left" vertical="center"/>
    </xf>
    <xf numFmtId="0" fontId="100" fillId="0" borderId="0" xfId="0" applyFont="1" applyAlignment="1">
      <alignment horizontal="justify" vertical="center"/>
    </xf>
    <xf numFmtId="0" fontId="100" fillId="0" borderId="61" xfId="0" applyFont="1" applyBorder="1" applyAlignment="1">
      <alignment horizontal="center" vertical="center" wrapText="1"/>
    </xf>
    <xf numFmtId="0" fontId="113" fillId="0" borderId="64" xfId="0" applyFont="1" applyBorder="1" applyAlignment="1">
      <alignment horizontal="center" vertical="center" wrapText="1"/>
    </xf>
    <xf numFmtId="0" fontId="113" fillId="0" borderId="25" xfId="0" applyFont="1" applyBorder="1" applyAlignment="1">
      <alignment horizontal="center" vertical="center" wrapText="1"/>
    </xf>
    <xf numFmtId="4" fontId="113" fillId="0" borderId="65" xfId="0" applyNumberFormat="1" applyFont="1" applyBorder="1" applyAlignment="1">
      <alignment horizontal="center" vertical="center" wrapText="1"/>
    </xf>
    <xf numFmtId="0" fontId="80" fillId="0" borderId="64" xfId="0" applyFont="1" applyBorder="1" applyAlignment="1">
      <alignment horizontal="center" vertical="center" wrapText="1"/>
    </xf>
    <xf numFmtId="0" fontId="58" fillId="0" borderId="64" xfId="0" applyFont="1" applyBorder="1" applyAlignment="1">
      <alignment horizontal="center" vertical="center" wrapText="1"/>
    </xf>
    <xf numFmtId="0" fontId="81" fillId="0" borderId="66" xfId="0" applyFont="1" applyBorder="1" applyAlignment="1">
      <alignment vertical="top" wrapText="1"/>
    </xf>
    <xf numFmtId="0" fontId="81" fillId="0" borderId="67" xfId="0" applyFont="1" applyBorder="1" applyAlignment="1">
      <alignment vertical="top" wrapText="1"/>
    </xf>
    <xf numFmtId="0" fontId="113" fillId="0" borderId="68" xfId="0" applyFont="1" applyBorder="1" applyAlignment="1">
      <alignment horizontal="center" vertical="center" wrapText="1"/>
    </xf>
    <xf numFmtId="0" fontId="114" fillId="30" borderId="0" xfId="0" applyFont="1" applyFill="1"/>
    <xf numFmtId="4" fontId="57" fillId="0" borderId="36" xfId="0" applyNumberFormat="1" applyFont="1" applyBorder="1" applyAlignment="1">
      <alignment horizontal="right" vertical="center"/>
    </xf>
    <xf numFmtId="4" fontId="67" fillId="0" borderId="0" xfId="0" applyNumberFormat="1" applyFont="1"/>
    <xf numFmtId="4" fontId="112" fillId="0" borderId="25" xfId="0" applyNumberFormat="1" applyFont="1" applyBorder="1" applyAlignment="1">
      <alignment horizontal="right" vertical="center" wrapText="1"/>
    </xf>
    <xf numFmtId="4" fontId="0" fillId="0" borderId="25" xfId="0" applyNumberFormat="1" applyBorder="1" applyAlignment="1">
      <alignment horizontal="right" vertical="center" wrapText="1"/>
    </xf>
    <xf numFmtId="0" fontId="75" fillId="0" borderId="13" xfId="0" applyFont="1" applyBorder="1" applyAlignment="1">
      <alignment horizontal="left" vertical="center" wrapText="1"/>
    </xf>
    <xf numFmtId="0" fontId="75" fillId="0" borderId="39" xfId="0" applyFont="1" applyBorder="1" applyAlignment="1">
      <alignment horizontal="center" vertical="center" wrapText="1"/>
    </xf>
    <xf numFmtId="3" fontId="75" fillId="0" borderId="39" xfId="0" applyNumberFormat="1" applyFont="1" applyBorder="1" applyAlignment="1">
      <alignment horizontal="center" vertical="center"/>
    </xf>
    <xf numFmtId="4" fontId="75" fillId="0" borderId="53" xfId="0" applyNumberFormat="1" applyFont="1" applyBorder="1" applyAlignment="1">
      <alignment vertical="center"/>
    </xf>
    <xf numFmtId="172" fontId="75" fillId="0" borderId="36" xfId="0" applyNumberFormat="1" applyFont="1" applyBorder="1" applyAlignment="1">
      <alignment horizontal="center" vertical="center"/>
    </xf>
    <xf numFmtId="0" fontId="75" fillId="0" borderId="41" xfId="0" applyFont="1" applyBorder="1" applyAlignment="1">
      <alignment horizontal="center" vertical="center" wrapText="1"/>
    </xf>
    <xf numFmtId="0" fontId="75" fillId="0" borderId="23" xfId="0" applyFont="1" applyBorder="1" applyAlignment="1">
      <alignment horizontal="left" vertical="center" wrapText="1"/>
    </xf>
    <xf numFmtId="3" fontId="75" fillId="0" borderId="41" xfId="0" applyNumberFormat="1" applyFont="1" applyBorder="1" applyAlignment="1">
      <alignment horizontal="center" vertical="center" wrapText="1"/>
    </xf>
    <xf numFmtId="4" fontId="75" fillId="0" borderId="44" xfId="0" applyNumberFormat="1" applyFont="1" applyBorder="1" applyAlignment="1">
      <alignment horizontal="right" vertical="center" wrapText="1"/>
    </xf>
    <xf numFmtId="0" fontId="75" fillId="30" borderId="39" xfId="0" applyFont="1" applyFill="1" applyBorder="1" applyAlignment="1">
      <alignment horizontal="center" vertical="center"/>
    </xf>
    <xf numFmtId="0" fontId="75" fillId="30" borderId="41" xfId="0" applyFont="1" applyFill="1" applyBorder="1" applyAlignment="1">
      <alignment horizontal="center" vertical="center"/>
    </xf>
    <xf numFmtId="0" fontId="75" fillId="0" borderId="39" xfId="0" applyFont="1" applyBorder="1" applyAlignment="1">
      <alignment horizontal="center" vertical="center"/>
    </xf>
    <xf numFmtId="4" fontId="75" fillId="0" borderId="53" xfId="0" applyNumberFormat="1" applyFont="1" applyBorder="1" applyAlignment="1">
      <alignment horizontal="right" vertical="center"/>
    </xf>
    <xf numFmtId="3" fontId="75" fillId="0" borderId="13" xfId="0" applyNumberFormat="1" applyFont="1" applyBorder="1" applyAlignment="1">
      <alignment horizontal="center" vertical="center" wrapText="1"/>
    </xf>
    <xf numFmtId="4" fontId="75" fillId="0" borderId="20" xfId="0" applyNumberFormat="1" applyFont="1" applyBorder="1" applyAlignment="1">
      <alignment horizontal="right" vertical="center" wrapText="1"/>
    </xf>
    <xf numFmtId="0" fontId="75" fillId="0" borderId="37" xfId="0" applyFont="1" applyBorder="1" applyAlignment="1">
      <alignment horizontal="center" vertical="center" wrapText="1"/>
    </xf>
    <xf numFmtId="3" fontId="75" fillId="0" borderId="42" xfId="0" applyNumberFormat="1" applyFont="1" applyBorder="1" applyAlignment="1">
      <alignment horizontal="center" vertical="center" wrapText="1"/>
    </xf>
    <xf numFmtId="4" fontId="75" fillId="0" borderId="54" xfId="0" applyNumberFormat="1" applyFont="1" applyBorder="1" applyAlignment="1">
      <alignment horizontal="right" vertical="center" wrapText="1"/>
    </xf>
    <xf numFmtId="3" fontId="75" fillId="0" borderId="23" xfId="0" applyNumberFormat="1" applyFont="1" applyBorder="1" applyAlignment="1">
      <alignment horizontal="center" vertical="center"/>
    </xf>
    <xf numFmtId="4" fontId="75" fillId="0" borderId="44" xfId="0" applyNumberFormat="1" applyFont="1" applyBorder="1" applyAlignment="1">
      <alignment horizontal="right" vertical="center"/>
    </xf>
    <xf numFmtId="172" fontId="75" fillId="30" borderId="13" xfId="0" applyNumberFormat="1" applyFont="1" applyFill="1" applyBorder="1" applyAlignment="1">
      <alignment horizontal="center" vertical="center"/>
    </xf>
    <xf numFmtId="0" fontId="75" fillId="30" borderId="13" xfId="0" applyFont="1" applyFill="1" applyBorder="1" applyAlignment="1">
      <alignment horizontal="left" vertical="center" wrapText="1"/>
    </xf>
    <xf numFmtId="3" fontId="75" fillId="0" borderId="39" xfId="0" applyNumberFormat="1" applyFont="1" applyBorder="1" applyAlignment="1">
      <alignment horizontal="center" vertical="center" wrapText="1"/>
    </xf>
    <xf numFmtId="4" fontId="75" fillId="0" borderId="53" xfId="0" applyNumberFormat="1" applyFont="1" applyBorder="1" applyAlignment="1">
      <alignment horizontal="right" vertical="center" wrapText="1"/>
    </xf>
    <xf numFmtId="0" fontId="75" fillId="0" borderId="40" xfId="0" applyFont="1" applyBorder="1" applyAlignment="1">
      <alignment horizontal="left" vertical="center" wrapText="1"/>
    </xf>
    <xf numFmtId="0" fontId="75" fillId="0" borderId="23" xfId="0" applyFont="1" applyBorder="1" applyAlignment="1">
      <alignment horizontal="center" vertical="center" wrapText="1"/>
    </xf>
    <xf numFmtId="4" fontId="75" fillId="0" borderId="44" xfId="0" applyNumberFormat="1" applyFont="1" applyBorder="1" applyAlignment="1">
      <alignment vertical="center" wrapText="1"/>
    </xf>
    <xf numFmtId="3" fontId="75" fillId="0" borderId="13" xfId="0" applyNumberFormat="1" applyFont="1" applyBorder="1" applyAlignment="1">
      <alignment horizontal="center" vertical="center"/>
    </xf>
    <xf numFmtId="0" fontId="75" fillId="30" borderId="13" xfId="0" applyFont="1" applyFill="1" applyBorder="1" applyAlignment="1">
      <alignment vertical="center" wrapText="1"/>
    </xf>
    <xf numFmtId="3" fontId="75" fillId="30" borderId="41" xfId="0" applyNumberFormat="1" applyFont="1" applyFill="1" applyBorder="1" applyAlignment="1">
      <alignment horizontal="center" vertical="center"/>
    </xf>
    <xf numFmtId="4" fontId="75" fillId="30" borderId="44" xfId="0" applyNumberFormat="1" applyFont="1" applyFill="1" applyBorder="1" applyAlignment="1">
      <alignment horizontal="right" vertical="center"/>
    </xf>
    <xf numFmtId="0" fontId="75" fillId="0" borderId="41" xfId="0" applyFont="1" applyBorder="1" applyAlignment="1">
      <alignment horizontal="left" vertical="top" wrapText="1"/>
    </xf>
    <xf numFmtId="0" fontId="75" fillId="30" borderId="41" xfId="0" applyFont="1" applyFill="1" applyBorder="1" applyAlignment="1">
      <alignment horizontal="center" vertical="center" wrapText="1"/>
    </xf>
    <xf numFmtId="0" fontId="75" fillId="30" borderId="39" xfId="0" applyFont="1" applyFill="1" applyBorder="1" applyAlignment="1">
      <alignment horizontal="center" vertical="center" wrapText="1"/>
    </xf>
    <xf numFmtId="3" fontId="75" fillId="30" borderId="13" xfId="0" applyNumberFormat="1" applyFont="1" applyFill="1" applyBorder="1" applyAlignment="1">
      <alignment horizontal="center" vertical="center" wrapText="1"/>
    </xf>
    <xf numFmtId="0" fontId="75" fillId="0" borderId="41" xfId="0" applyFont="1" applyBorder="1" applyAlignment="1">
      <alignment horizontal="left" vertical="center" wrapText="1"/>
    </xf>
    <xf numFmtId="3" fontId="75" fillId="0" borderId="23" xfId="0" applyNumberFormat="1" applyFont="1" applyBorder="1" applyAlignment="1">
      <alignment horizontal="center" vertical="center" wrapText="1"/>
    </xf>
    <xf numFmtId="4" fontId="75" fillId="0" borderId="24" xfId="0" applyNumberFormat="1" applyFont="1" applyBorder="1" applyAlignment="1">
      <alignment horizontal="right" vertical="center" wrapText="1"/>
    </xf>
    <xf numFmtId="0" fontId="75" fillId="30" borderId="23" xfId="0" applyFont="1" applyFill="1" applyBorder="1" applyAlignment="1">
      <alignment horizontal="left" vertical="center" wrapText="1"/>
    </xf>
    <xf numFmtId="3" fontId="75" fillId="30" borderId="23" xfId="0" applyNumberFormat="1" applyFont="1" applyFill="1" applyBorder="1" applyAlignment="1">
      <alignment horizontal="center" vertical="center" wrapText="1"/>
    </xf>
    <xf numFmtId="4" fontId="75" fillId="30" borderId="20" xfId="0" applyNumberFormat="1" applyFont="1" applyFill="1" applyBorder="1" applyAlignment="1">
      <alignment horizontal="right" vertical="center" wrapText="1"/>
    </xf>
    <xf numFmtId="0" fontId="75" fillId="0" borderId="23" xfId="0" applyFont="1" applyBorder="1" applyAlignment="1">
      <alignment wrapText="1"/>
    </xf>
    <xf numFmtId="4" fontId="75" fillId="0" borderId="23" xfId="0" applyNumberFormat="1" applyFont="1" applyBorder="1" applyAlignment="1">
      <alignment horizontal="right" vertical="center" wrapText="1"/>
    </xf>
    <xf numFmtId="0" fontId="75" fillId="0" borderId="39" xfId="0" applyFont="1" applyBorder="1" applyAlignment="1">
      <alignment horizontal="left" vertical="center" wrapText="1"/>
    </xf>
    <xf numFmtId="0" fontId="75" fillId="30" borderId="23" xfId="0" applyFont="1" applyFill="1" applyBorder="1" applyAlignment="1">
      <alignment horizontal="center" vertical="center" wrapText="1"/>
    </xf>
    <xf numFmtId="0" fontId="75" fillId="30" borderId="37" xfId="0" applyFont="1" applyFill="1" applyBorder="1" applyAlignment="1">
      <alignment horizontal="center" vertical="center" wrapText="1"/>
    </xf>
    <xf numFmtId="3" fontId="75" fillId="30" borderId="42" xfId="0" applyNumberFormat="1" applyFont="1" applyFill="1" applyBorder="1" applyAlignment="1">
      <alignment horizontal="center" vertical="center" wrapText="1"/>
    </xf>
    <xf numFmtId="3" fontId="75" fillId="30" borderId="39" xfId="0" applyNumberFormat="1" applyFont="1" applyFill="1" applyBorder="1" applyAlignment="1">
      <alignment horizontal="center" vertical="center"/>
    </xf>
    <xf numFmtId="4" fontId="75" fillId="30" borderId="53" xfId="0" applyNumberFormat="1" applyFont="1" applyFill="1" applyBorder="1" applyAlignment="1">
      <alignment vertical="center"/>
    </xf>
    <xf numFmtId="3" fontId="75" fillId="30" borderId="37" xfId="0" applyNumberFormat="1" applyFont="1" applyFill="1" applyBorder="1" applyAlignment="1">
      <alignment horizontal="center" vertical="center"/>
    </xf>
    <xf numFmtId="4" fontId="75" fillId="30" borderId="54" xfId="0" applyNumberFormat="1" applyFont="1" applyFill="1" applyBorder="1" applyAlignment="1">
      <alignment vertical="center"/>
    </xf>
    <xf numFmtId="3" fontId="75" fillId="30" borderId="39" xfId="0" applyNumberFormat="1" applyFont="1" applyFill="1" applyBorder="1" applyAlignment="1">
      <alignment horizontal="center" vertical="center" wrapText="1"/>
    </xf>
    <xf numFmtId="4" fontId="75" fillId="30" borderId="53" xfId="0" applyNumberFormat="1" applyFont="1" applyFill="1" applyBorder="1" applyAlignment="1">
      <alignment horizontal="right" vertical="center" wrapText="1"/>
    </xf>
    <xf numFmtId="0" fontId="83" fillId="0" borderId="0" xfId="0" applyFont="1" applyAlignment="1">
      <alignment vertical="center"/>
    </xf>
    <xf numFmtId="0" fontId="83" fillId="0" borderId="0" xfId="0" applyFont="1"/>
    <xf numFmtId="0" fontId="107" fillId="0" borderId="74" xfId="0" applyFont="1" applyBorder="1" applyAlignment="1">
      <alignment horizontal="center" vertical="center" wrapText="1"/>
    </xf>
    <xf numFmtId="0" fontId="80" fillId="0" borderId="0" xfId="0" applyFont="1" applyAlignment="1">
      <alignment horizontal="justify" vertical="center" wrapText="1"/>
    </xf>
    <xf numFmtId="0" fontId="56" fillId="0" borderId="0" xfId="0" applyFont="1" applyAlignment="1">
      <alignment horizontal="center" vertical="center" wrapText="1"/>
    </xf>
    <xf numFmtId="0" fontId="75" fillId="0" borderId="0" xfId="0" applyFont="1" applyAlignment="1">
      <alignment horizontal="justify" vertical="center" wrapText="1"/>
    </xf>
    <xf numFmtId="0" fontId="90" fillId="0" borderId="0" xfId="0" applyFont="1" applyAlignment="1">
      <alignment horizontal="center" vertical="center" wrapText="1"/>
    </xf>
    <xf numFmtId="0" fontId="53" fillId="0" borderId="33" xfId="0" applyFont="1" applyBorder="1" applyAlignment="1">
      <alignment horizontal="justify" vertical="center" wrapText="1"/>
    </xf>
    <xf numFmtId="0" fontId="83" fillId="0" borderId="30" xfId="0" applyFont="1" applyBorder="1" applyAlignment="1">
      <alignment horizontal="justify" vertical="center" wrapText="1"/>
    </xf>
    <xf numFmtId="0" fontId="0" fillId="0" borderId="30" xfId="0" applyBorder="1" applyAlignment="1">
      <alignment horizontal="justify" vertical="center" wrapText="1"/>
    </xf>
    <xf numFmtId="0" fontId="0" fillId="0" borderId="31" xfId="0" applyBorder="1" applyAlignment="1">
      <alignment horizontal="justify" vertical="center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/>
    </xf>
    <xf numFmtId="0" fontId="92" fillId="0" borderId="0" xfId="0" applyFont="1" applyAlignment="1">
      <alignment horizontal="center"/>
    </xf>
    <xf numFmtId="0" fontId="0" fillId="0" borderId="0" xfId="0"/>
    <xf numFmtId="0" fontId="66" fillId="0" borderId="0" xfId="0" applyFont="1"/>
    <xf numFmtId="0" fontId="66" fillId="0" borderId="34" xfId="0" applyFont="1" applyBorder="1" applyAlignment="1">
      <alignment horizontal="center" vertical="top"/>
    </xf>
    <xf numFmtId="0" fontId="67" fillId="0" borderId="34" xfId="0" applyFont="1" applyBorder="1" applyAlignment="1">
      <alignment horizontal="center" vertical="top"/>
    </xf>
    <xf numFmtId="0" fontId="66" fillId="0" borderId="0" xfId="0" applyFont="1" applyAlignment="1">
      <alignment horizontal="left" vertical="top"/>
    </xf>
    <xf numFmtId="0" fontId="68" fillId="0" borderId="0" xfId="0" applyFont="1" applyAlignment="1">
      <alignment horizontal="left" vertical="top"/>
    </xf>
    <xf numFmtId="0" fontId="66" fillId="0" borderId="0" xfId="0" applyFont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9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5" fillId="0" borderId="34" xfId="0" applyFont="1" applyBorder="1"/>
    <xf numFmtId="0" fontId="0" fillId="0" borderId="34" xfId="0" applyBorder="1"/>
    <xf numFmtId="0" fontId="104" fillId="0" borderId="0" xfId="0" applyFont="1" applyAlignment="1">
      <alignment horizontal="center" vertical="center"/>
    </xf>
    <xf numFmtId="0" fontId="81" fillId="0" borderId="0" xfId="0" applyFont="1" applyAlignment="1">
      <alignment vertical="center"/>
    </xf>
    <xf numFmtId="0" fontId="105" fillId="0" borderId="0" xfId="0" applyFont="1" applyAlignment="1">
      <alignment horizontal="center" vertical="center"/>
    </xf>
    <xf numFmtId="0" fontId="106" fillId="0" borderId="0" xfId="0" applyFont="1"/>
    <xf numFmtId="0" fontId="55" fillId="0" borderId="0" xfId="0" applyFont="1" applyAlignment="1">
      <alignment horizontal="center" vertical="center"/>
    </xf>
    <xf numFmtId="0" fontId="91" fillId="0" borderId="0" xfId="0" applyFont="1" applyAlignment="1">
      <alignment horizontal="center" vertical="center"/>
    </xf>
    <xf numFmtId="49" fontId="76" fillId="0" borderId="0" xfId="0" applyNumberFormat="1" applyFont="1" applyAlignment="1">
      <alignment horizontal="justify" vertical="center" wrapText="1"/>
    </xf>
    <xf numFmtId="0" fontId="58" fillId="0" borderId="0" xfId="0" applyFont="1" applyAlignment="1">
      <alignment wrapText="1"/>
    </xf>
    <xf numFmtId="49" fontId="76" fillId="0" borderId="33" xfId="0" applyNumberFormat="1" applyFont="1" applyBorder="1" applyAlignment="1">
      <alignment horizontal="justify" vertical="center" wrapText="1"/>
    </xf>
    <xf numFmtId="0" fontId="58" fillId="0" borderId="33" xfId="0" applyFont="1" applyBorder="1" applyAlignment="1">
      <alignment wrapText="1"/>
    </xf>
    <xf numFmtId="0" fontId="78" fillId="0" borderId="0" xfId="0" applyFont="1" applyAlignment="1">
      <alignment horizontal="center" vertical="center"/>
    </xf>
    <xf numFmtId="0" fontId="79" fillId="0" borderId="0" xfId="0" applyFont="1"/>
    <xf numFmtId="0" fontId="78" fillId="0" borderId="0" xfId="0" applyFont="1" applyAlignment="1">
      <alignment horizontal="justify" vertical="center"/>
    </xf>
    <xf numFmtId="0" fontId="76" fillId="0" borderId="0" xfId="0" applyFont="1"/>
    <xf numFmtId="0" fontId="76" fillId="0" borderId="71" xfId="0" applyFont="1" applyBorder="1" applyAlignment="1">
      <alignment horizontal="center" vertical="center"/>
    </xf>
    <xf numFmtId="0" fontId="76" fillId="0" borderId="75" xfId="0" applyFont="1" applyBorder="1" applyAlignment="1">
      <alignment horizontal="center" vertical="center"/>
    </xf>
    <xf numFmtId="0" fontId="76" fillId="0" borderId="72" xfId="0" applyFont="1" applyBorder="1" applyAlignment="1">
      <alignment horizontal="center" vertical="center"/>
    </xf>
    <xf numFmtId="0" fontId="76" fillId="0" borderId="69" xfId="0" applyFont="1" applyBorder="1" applyAlignment="1">
      <alignment horizontal="center" vertical="center"/>
    </xf>
    <xf numFmtId="0" fontId="76" fillId="0" borderId="74" xfId="0" applyFont="1" applyBorder="1" applyAlignment="1">
      <alignment horizontal="center" vertical="center"/>
    </xf>
    <xf numFmtId="0" fontId="76" fillId="0" borderId="27" xfId="0" applyFont="1" applyBorder="1" applyAlignment="1">
      <alignment horizontal="center" vertical="center"/>
    </xf>
    <xf numFmtId="0" fontId="76" fillId="0" borderId="26" xfId="0" applyFont="1" applyBorder="1" applyAlignment="1">
      <alignment horizontal="center" vertical="center" wrapText="1"/>
    </xf>
    <xf numFmtId="0" fontId="76" fillId="0" borderId="31" xfId="0" applyFont="1" applyBorder="1" applyAlignment="1">
      <alignment horizontal="center" vertical="center" wrapText="1"/>
    </xf>
    <xf numFmtId="0" fontId="107" fillId="0" borderId="26" xfId="0" applyFont="1" applyBorder="1" applyAlignment="1">
      <alignment horizontal="center" vertical="center" wrapText="1"/>
    </xf>
    <xf numFmtId="0" fontId="107" fillId="0" borderId="30" xfId="0" applyFont="1" applyBorder="1" applyAlignment="1">
      <alignment horizontal="center" vertical="center" wrapText="1"/>
    </xf>
    <xf numFmtId="0" fontId="107" fillId="0" borderId="31" xfId="0" applyFont="1" applyBorder="1" applyAlignment="1">
      <alignment horizontal="center" vertical="center" wrapText="1"/>
    </xf>
    <xf numFmtId="0" fontId="83" fillId="0" borderId="73" xfId="0" applyFont="1" applyBorder="1" applyAlignment="1">
      <alignment vertical="center" wrapText="1"/>
    </xf>
    <xf numFmtId="0" fontId="83" fillId="0" borderId="25" xfId="0" applyFont="1" applyBorder="1" applyAlignment="1">
      <alignment vertical="center" wrapText="1"/>
    </xf>
    <xf numFmtId="0" fontId="0" fillId="0" borderId="70" xfId="0" applyBorder="1" applyAlignment="1">
      <alignment vertical="top" wrapText="1"/>
    </xf>
    <xf numFmtId="0" fontId="0" fillId="0" borderId="32" xfId="0" applyBorder="1" applyAlignment="1">
      <alignment wrapText="1"/>
    </xf>
    <xf numFmtId="0" fontId="83" fillId="0" borderId="0" xfId="0" applyFont="1" applyAlignment="1">
      <alignment vertical="top" wrapText="1"/>
    </xf>
    <xf numFmtId="0" fontId="83" fillId="0" borderId="0" xfId="0" applyFont="1" applyAlignment="1">
      <alignment wrapText="1"/>
    </xf>
    <xf numFmtId="0" fontId="80" fillId="0" borderId="0" xfId="0" applyFont="1" applyAlignment="1">
      <alignment vertical="top" wrapText="1"/>
    </xf>
    <xf numFmtId="0" fontId="77" fillId="0" borderId="0" xfId="0" applyFont="1" applyAlignment="1">
      <alignment horizontal="justify" vertical="center"/>
    </xf>
    <xf numFmtId="0" fontId="107" fillId="0" borderId="69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83" fillId="0" borderId="71" xfId="0" applyFont="1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27" xfId="0" applyBorder="1" applyAlignment="1">
      <alignment vertical="center" wrapText="1"/>
    </xf>
    <xf numFmtId="0" fontId="107" fillId="0" borderId="73" xfId="0" applyFont="1" applyBorder="1" applyAlignment="1">
      <alignment horizontal="center"/>
    </xf>
    <xf numFmtId="0" fontId="107" fillId="0" borderId="25" xfId="0" applyFont="1" applyBorder="1" applyAlignment="1">
      <alignment horizontal="center"/>
    </xf>
    <xf numFmtId="0" fontId="77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77" fillId="0" borderId="0" xfId="0" applyFont="1" applyAlignment="1">
      <alignment horizontal="center"/>
    </xf>
    <xf numFmtId="0" fontId="107" fillId="0" borderId="0" xfId="0" applyFont="1" applyAlignment="1">
      <alignment horizontal="center"/>
    </xf>
  </cellXfs>
  <cellStyles count="13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20% - akcent 1 2" xfId="8" xr:uid="{00000000-0005-0000-0000-000006000000}"/>
    <cellStyle name="20% - akcent 2 2" xfId="9" xr:uid="{00000000-0005-0000-0000-000007000000}"/>
    <cellStyle name="20% - akcent 3 2" xfId="10" xr:uid="{00000000-0005-0000-0000-000008000000}"/>
    <cellStyle name="20% - akcent 4 2" xfId="11" xr:uid="{00000000-0005-0000-0000-000009000000}"/>
    <cellStyle name="20% - akcent 5 2" xfId="12" xr:uid="{00000000-0005-0000-0000-00000A000000}"/>
    <cellStyle name="20% - akcent 6 2" xfId="13" xr:uid="{00000000-0005-0000-0000-00000B000000}"/>
    <cellStyle name="40% - Accent1" xfId="14" xr:uid="{00000000-0005-0000-0000-00000C000000}"/>
    <cellStyle name="40% - Accent2" xfId="15" xr:uid="{00000000-0005-0000-0000-00000D000000}"/>
    <cellStyle name="40% - Accent3" xfId="16" xr:uid="{00000000-0005-0000-0000-00000E000000}"/>
    <cellStyle name="40% - Accent4" xfId="17" xr:uid="{00000000-0005-0000-0000-00000F000000}"/>
    <cellStyle name="40% - Accent5" xfId="18" xr:uid="{00000000-0005-0000-0000-000010000000}"/>
    <cellStyle name="40% - Accent6" xfId="19" xr:uid="{00000000-0005-0000-0000-000011000000}"/>
    <cellStyle name="40% - akcent 1 2" xfId="20" xr:uid="{00000000-0005-0000-0000-000012000000}"/>
    <cellStyle name="40% - akcent 2 2" xfId="21" xr:uid="{00000000-0005-0000-0000-000013000000}"/>
    <cellStyle name="40% - akcent 3 2" xfId="22" xr:uid="{00000000-0005-0000-0000-000014000000}"/>
    <cellStyle name="40% - akcent 4 2" xfId="23" xr:uid="{00000000-0005-0000-0000-000015000000}"/>
    <cellStyle name="40% - akcent 5 2" xfId="24" xr:uid="{00000000-0005-0000-0000-000016000000}"/>
    <cellStyle name="40% - akcent 6 2" xfId="25" xr:uid="{00000000-0005-0000-0000-000017000000}"/>
    <cellStyle name="60% - Accent1" xfId="26" xr:uid="{00000000-0005-0000-0000-000018000000}"/>
    <cellStyle name="60% - Accent2" xfId="27" xr:uid="{00000000-0005-0000-0000-000019000000}"/>
    <cellStyle name="60% - Accent3" xfId="28" xr:uid="{00000000-0005-0000-0000-00001A000000}"/>
    <cellStyle name="60% - Accent4" xfId="29" xr:uid="{00000000-0005-0000-0000-00001B000000}"/>
    <cellStyle name="60% - Accent5" xfId="30" xr:uid="{00000000-0005-0000-0000-00001C000000}"/>
    <cellStyle name="60% - Accent6" xfId="31" xr:uid="{00000000-0005-0000-0000-00001D000000}"/>
    <cellStyle name="60% - akcent 1 2" xfId="32" xr:uid="{00000000-0005-0000-0000-00001E000000}"/>
    <cellStyle name="60% - akcent 2 2" xfId="33" xr:uid="{00000000-0005-0000-0000-00001F000000}"/>
    <cellStyle name="60% - akcent 3 2" xfId="34" xr:uid="{00000000-0005-0000-0000-000020000000}"/>
    <cellStyle name="60% - akcent 4 2" xfId="35" xr:uid="{00000000-0005-0000-0000-000021000000}"/>
    <cellStyle name="60% - akcent 5 2" xfId="36" xr:uid="{00000000-0005-0000-0000-000022000000}"/>
    <cellStyle name="60% - akcent 6 2" xfId="37" xr:uid="{00000000-0005-0000-0000-000023000000}"/>
    <cellStyle name="Accent1" xfId="38" xr:uid="{00000000-0005-0000-0000-000024000000}"/>
    <cellStyle name="Accent2" xfId="39" xr:uid="{00000000-0005-0000-0000-000025000000}"/>
    <cellStyle name="Accent3" xfId="40" xr:uid="{00000000-0005-0000-0000-000026000000}"/>
    <cellStyle name="Accent4" xfId="41" xr:uid="{00000000-0005-0000-0000-000027000000}"/>
    <cellStyle name="Accent5" xfId="42" xr:uid="{00000000-0005-0000-0000-000028000000}"/>
    <cellStyle name="Accent6" xfId="43" xr:uid="{00000000-0005-0000-0000-000029000000}"/>
    <cellStyle name="Akcent 1 2" xfId="45" xr:uid="{00000000-0005-0000-0000-00002A000000}"/>
    <cellStyle name="Akcent 1 3" xfId="44" xr:uid="{00000000-0005-0000-0000-00002B000000}"/>
    <cellStyle name="Akcent 2 2" xfId="47" xr:uid="{00000000-0005-0000-0000-00002C000000}"/>
    <cellStyle name="Akcent 2 3" xfId="46" xr:uid="{00000000-0005-0000-0000-00002D000000}"/>
    <cellStyle name="Akcent 3 2" xfId="49" xr:uid="{00000000-0005-0000-0000-00002E000000}"/>
    <cellStyle name="Akcent 3 3" xfId="48" xr:uid="{00000000-0005-0000-0000-00002F000000}"/>
    <cellStyle name="Akcent 4 2" xfId="51" xr:uid="{00000000-0005-0000-0000-000030000000}"/>
    <cellStyle name="Akcent 4 3" xfId="50" xr:uid="{00000000-0005-0000-0000-000031000000}"/>
    <cellStyle name="Akcent 5 2" xfId="53" xr:uid="{00000000-0005-0000-0000-000032000000}"/>
    <cellStyle name="Akcent 5 3" xfId="52" xr:uid="{00000000-0005-0000-0000-000033000000}"/>
    <cellStyle name="Akcent 6 2" xfId="55" xr:uid="{00000000-0005-0000-0000-000034000000}"/>
    <cellStyle name="Akcent 6 3" xfId="54" xr:uid="{00000000-0005-0000-0000-000035000000}"/>
    <cellStyle name="Bad" xfId="56" xr:uid="{00000000-0005-0000-0000-000036000000}"/>
    <cellStyle name="Calculation" xfId="57" xr:uid="{00000000-0005-0000-0000-000037000000}"/>
    <cellStyle name="Check Cell" xfId="58" xr:uid="{00000000-0005-0000-0000-000038000000}"/>
    <cellStyle name="Dane wejściowe 2" xfId="60" xr:uid="{00000000-0005-0000-0000-000039000000}"/>
    <cellStyle name="Dane wejściowe 3" xfId="59" xr:uid="{00000000-0005-0000-0000-00003A000000}"/>
    <cellStyle name="Dane wyjściowe 2" xfId="62" xr:uid="{00000000-0005-0000-0000-00003B000000}"/>
    <cellStyle name="Dane wyjściowe 3" xfId="61" xr:uid="{00000000-0005-0000-0000-00003C000000}"/>
    <cellStyle name="Dobre 2" xfId="63" xr:uid="{00000000-0005-0000-0000-00003D000000}"/>
    <cellStyle name="Dziesiętny 2" xfId="64" xr:uid="{00000000-0005-0000-0000-00003E000000}"/>
    <cellStyle name="Dziesiętny 2 2" xfId="129" xr:uid="{00000000-0005-0000-0000-00003F000000}"/>
    <cellStyle name="Explanatory Text" xfId="65" xr:uid="{00000000-0005-0000-0000-000040000000}"/>
    <cellStyle name="Good" xfId="66" xr:uid="{00000000-0005-0000-0000-000041000000}"/>
    <cellStyle name="Heading" xfId="67" xr:uid="{00000000-0005-0000-0000-000042000000}"/>
    <cellStyle name="Heading 1" xfId="68" xr:uid="{00000000-0005-0000-0000-000043000000}"/>
    <cellStyle name="Heading 2" xfId="69" xr:uid="{00000000-0005-0000-0000-000044000000}"/>
    <cellStyle name="Heading 3" xfId="70" xr:uid="{00000000-0005-0000-0000-000045000000}"/>
    <cellStyle name="Heading 4" xfId="71" xr:uid="{00000000-0005-0000-0000-000046000000}"/>
    <cellStyle name="Heading1" xfId="72" xr:uid="{00000000-0005-0000-0000-000047000000}"/>
    <cellStyle name="Hiperłącze 2" xfId="73" xr:uid="{00000000-0005-0000-0000-000048000000}"/>
    <cellStyle name="Input" xfId="74" xr:uid="{00000000-0005-0000-0000-000049000000}"/>
    <cellStyle name="Komórka połączona 2" xfId="76" xr:uid="{00000000-0005-0000-0000-00004A000000}"/>
    <cellStyle name="Komórka połączona 3" xfId="75" xr:uid="{00000000-0005-0000-0000-00004B000000}"/>
    <cellStyle name="Komórka zaznaczona 2" xfId="78" xr:uid="{00000000-0005-0000-0000-00004C000000}"/>
    <cellStyle name="Komórka zaznaczona 3" xfId="77" xr:uid="{00000000-0005-0000-0000-00004D000000}"/>
    <cellStyle name="Linked Cell" xfId="79" xr:uid="{00000000-0005-0000-0000-00004E000000}"/>
    <cellStyle name="Nagłówek 1 2" xfId="81" xr:uid="{00000000-0005-0000-0000-00004F000000}"/>
    <cellStyle name="Nagłówek 1 3" xfId="80" xr:uid="{00000000-0005-0000-0000-000050000000}"/>
    <cellStyle name="Nagłówek 2 2" xfId="83" xr:uid="{00000000-0005-0000-0000-000051000000}"/>
    <cellStyle name="Nagłówek 2 3" xfId="82" xr:uid="{00000000-0005-0000-0000-000052000000}"/>
    <cellStyle name="Nagłówek 3 2" xfId="85" xr:uid="{00000000-0005-0000-0000-000053000000}"/>
    <cellStyle name="Nagłówek 3 3" xfId="84" xr:uid="{00000000-0005-0000-0000-000054000000}"/>
    <cellStyle name="Nagłówek 4 2" xfId="87" xr:uid="{00000000-0005-0000-0000-000055000000}"/>
    <cellStyle name="Nagłówek 4 3" xfId="86" xr:uid="{00000000-0005-0000-0000-000056000000}"/>
    <cellStyle name="Neutral" xfId="88" xr:uid="{00000000-0005-0000-0000-000057000000}"/>
    <cellStyle name="Neutralne 2" xfId="89" xr:uid="{00000000-0005-0000-0000-000058000000}"/>
    <cellStyle name="Normalny" xfId="0" builtinId="0"/>
    <cellStyle name="Normalny 10" xfId="131" xr:uid="{00000000-0005-0000-0000-00005A000000}"/>
    <cellStyle name="Normalny 2" xfId="90" xr:uid="{00000000-0005-0000-0000-00005B000000}"/>
    <cellStyle name="Normalny 2 2" xfId="91" xr:uid="{00000000-0005-0000-0000-00005C000000}"/>
    <cellStyle name="Normalny 3" xfId="92" xr:uid="{00000000-0005-0000-0000-00005D000000}"/>
    <cellStyle name="Normalny 4" xfId="93" xr:uid="{00000000-0005-0000-0000-00005E000000}"/>
    <cellStyle name="Normalny 4 1" xfId="94" xr:uid="{00000000-0005-0000-0000-00005F000000}"/>
    <cellStyle name="Normalny 4 2" xfId="95" xr:uid="{00000000-0005-0000-0000-000060000000}"/>
    <cellStyle name="Normalny 5" xfId="96" xr:uid="{00000000-0005-0000-0000-000061000000}"/>
    <cellStyle name="Normalny 6" xfId="97" xr:uid="{00000000-0005-0000-0000-000062000000}"/>
    <cellStyle name="Normalny 7" xfId="98" xr:uid="{00000000-0005-0000-0000-000063000000}"/>
    <cellStyle name="Normalny 8" xfId="99" xr:uid="{00000000-0005-0000-0000-000064000000}"/>
    <cellStyle name="Normalny 9" xfId="1" xr:uid="{00000000-0005-0000-0000-000065000000}"/>
    <cellStyle name="Note" xfId="100" xr:uid="{00000000-0005-0000-0000-000066000000}"/>
    <cellStyle name="Obliczenia 2" xfId="102" xr:uid="{00000000-0005-0000-0000-000067000000}"/>
    <cellStyle name="Obliczenia 3" xfId="101" xr:uid="{00000000-0005-0000-0000-000068000000}"/>
    <cellStyle name="Output" xfId="103" xr:uid="{00000000-0005-0000-0000-000069000000}"/>
    <cellStyle name="Procentowy 2" xfId="105" xr:uid="{00000000-0005-0000-0000-00006A000000}"/>
    <cellStyle name="Procentowy 2 2" xfId="106" xr:uid="{00000000-0005-0000-0000-00006B000000}"/>
    <cellStyle name="Procentowy 3" xfId="107" xr:uid="{00000000-0005-0000-0000-00006C000000}"/>
    <cellStyle name="Procentowy 4" xfId="108" xr:uid="{00000000-0005-0000-0000-00006D000000}"/>
    <cellStyle name="Procentowy 4 1" xfId="109" xr:uid="{00000000-0005-0000-0000-00006E000000}"/>
    <cellStyle name="Procentowy 5" xfId="110" xr:uid="{00000000-0005-0000-0000-00006F000000}"/>
    <cellStyle name="Procentowy 6" xfId="104" xr:uid="{00000000-0005-0000-0000-000070000000}"/>
    <cellStyle name="Result" xfId="111" xr:uid="{00000000-0005-0000-0000-000071000000}"/>
    <cellStyle name="Result2" xfId="112" xr:uid="{00000000-0005-0000-0000-000072000000}"/>
    <cellStyle name="Suma 2" xfId="114" xr:uid="{00000000-0005-0000-0000-000073000000}"/>
    <cellStyle name="Suma 3" xfId="113" xr:uid="{00000000-0005-0000-0000-000074000000}"/>
    <cellStyle name="Tekst objaśnienia 2" xfId="116" xr:uid="{00000000-0005-0000-0000-000075000000}"/>
    <cellStyle name="Tekst objaśnienia 3" xfId="115" xr:uid="{00000000-0005-0000-0000-000076000000}"/>
    <cellStyle name="Tekst ostrzeżenia 2" xfId="118" xr:uid="{00000000-0005-0000-0000-000077000000}"/>
    <cellStyle name="Tekst ostrzeżenia 3" xfId="117" xr:uid="{00000000-0005-0000-0000-000078000000}"/>
    <cellStyle name="Title" xfId="119" xr:uid="{00000000-0005-0000-0000-000079000000}"/>
    <cellStyle name="Total" xfId="120" xr:uid="{00000000-0005-0000-0000-00007A000000}"/>
    <cellStyle name="Tytuł 2" xfId="122" xr:uid="{00000000-0005-0000-0000-00007B000000}"/>
    <cellStyle name="Tytuł 3" xfId="121" xr:uid="{00000000-0005-0000-0000-00007C000000}"/>
    <cellStyle name="Uwaga 2" xfId="124" xr:uid="{00000000-0005-0000-0000-00007D000000}"/>
    <cellStyle name="Uwaga 3" xfId="123" xr:uid="{00000000-0005-0000-0000-00007E000000}"/>
    <cellStyle name="Walutowy 2" xfId="125" xr:uid="{00000000-0005-0000-0000-00007F000000}"/>
    <cellStyle name="Walutowy 2 2" xfId="126" xr:uid="{00000000-0005-0000-0000-000080000000}"/>
    <cellStyle name="Walutowy 2 2 2" xfId="130" xr:uid="{00000000-0005-0000-0000-000081000000}"/>
    <cellStyle name="Warning Text" xfId="127" xr:uid="{00000000-0005-0000-0000-000082000000}"/>
    <cellStyle name="Złe 2" xfId="128" xr:uid="{00000000-0005-0000-0000-000083000000}"/>
  </cellStyles>
  <dxfs count="272"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u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H201"/>
  <sheetViews>
    <sheetView view="pageLayout" topLeftCell="A194" zoomScaleNormal="75" zoomScaleSheetLayoutView="75" workbookViewId="0">
      <selection activeCell="B202" sqref="B202"/>
    </sheetView>
  </sheetViews>
  <sheetFormatPr defaultRowHeight="15"/>
  <cols>
    <col min="1" max="3" width="9.7109375" style="1" customWidth="1"/>
    <col min="4" max="4" width="75.28515625" style="1" customWidth="1"/>
    <col min="5" max="6" width="15.7109375" style="1" customWidth="1"/>
    <col min="7" max="7" width="16.140625" style="1" customWidth="1"/>
    <col min="8" max="8" width="15.5703125" style="1" customWidth="1"/>
    <col min="9" max="16384" width="9.140625" style="1"/>
  </cols>
  <sheetData>
    <row r="1" spans="1:8" ht="23.25">
      <c r="A1" s="566" t="s">
        <v>204</v>
      </c>
      <c r="B1" s="566"/>
      <c r="C1" s="566"/>
      <c r="D1" s="566"/>
      <c r="E1" s="566"/>
      <c r="F1" s="567"/>
      <c r="G1" s="567"/>
      <c r="H1" s="567"/>
    </row>
    <row r="2" spans="1:8">
      <c r="A2"/>
      <c r="B2"/>
      <c r="C2"/>
      <c r="D2"/>
      <c r="E2"/>
    </row>
    <row r="3" spans="1:8" ht="61.5" customHeight="1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244" t="s">
        <v>326</v>
      </c>
      <c r="G3" s="244" t="s">
        <v>327</v>
      </c>
      <c r="H3" s="244" t="s">
        <v>328</v>
      </c>
    </row>
    <row r="4" spans="1:8">
      <c r="A4" s="5">
        <v>1</v>
      </c>
      <c r="B4" s="6">
        <v>2</v>
      </c>
      <c r="C4" s="6">
        <v>3</v>
      </c>
      <c r="D4" s="6">
        <v>4</v>
      </c>
      <c r="E4" s="6">
        <v>5</v>
      </c>
      <c r="F4" s="245">
        <v>6</v>
      </c>
      <c r="G4" s="245">
        <v>7</v>
      </c>
      <c r="H4" s="245">
        <v>8</v>
      </c>
    </row>
    <row r="5" spans="1:8" ht="69.75" hidden="1" customHeight="1">
      <c r="A5" s="7"/>
      <c r="B5" s="8"/>
      <c r="C5" s="8"/>
      <c r="D5" s="8"/>
      <c r="E5" s="8"/>
    </row>
    <row r="6" spans="1:8" ht="15.75">
      <c r="A6" s="9">
        <v>10</v>
      </c>
      <c r="B6" s="10"/>
      <c r="C6" s="11"/>
      <c r="D6" s="12" t="s">
        <v>5</v>
      </c>
      <c r="E6" s="13">
        <f>E7+E9</f>
        <v>550482.09</v>
      </c>
      <c r="F6" s="13">
        <f t="shared" ref="F6:H6" si="0">F7+F9</f>
        <v>0</v>
      </c>
      <c r="G6" s="13">
        <f t="shared" si="0"/>
        <v>0</v>
      </c>
      <c r="H6" s="13">
        <f t="shared" si="0"/>
        <v>550482.09</v>
      </c>
    </row>
    <row r="7" spans="1:8" ht="15.75">
      <c r="A7" s="9"/>
      <c r="B7" s="10">
        <v>1044</v>
      </c>
      <c r="C7" s="11"/>
      <c r="D7" s="12" t="s">
        <v>6</v>
      </c>
      <c r="E7" s="13">
        <f>E8</f>
        <v>400000</v>
      </c>
      <c r="F7" s="13">
        <f t="shared" ref="F7:H7" si="1">F8</f>
        <v>0</v>
      </c>
      <c r="G7" s="13">
        <f t="shared" si="1"/>
        <v>0</v>
      </c>
      <c r="H7" s="13">
        <f t="shared" si="1"/>
        <v>400000</v>
      </c>
    </row>
    <row r="8" spans="1:8" ht="47.25">
      <c r="A8" s="9"/>
      <c r="B8" s="10"/>
      <c r="C8" s="11">
        <v>750</v>
      </c>
      <c r="D8" s="12" t="s">
        <v>7</v>
      </c>
      <c r="E8" s="13">
        <v>400000</v>
      </c>
      <c r="F8" s="13"/>
      <c r="G8" s="13"/>
      <c r="H8" s="13">
        <f>E8+F8-G8</f>
        <v>400000</v>
      </c>
    </row>
    <row r="9" spans="1:8" ht="15.75">
      <c r="A9" s="9"/>
      <c r="B9" s="10">
        <v>1095</v>
      </c>
      <c r="C9" s="11"/>
      <c r="D9" s="12" t="s">
        <v>8</v>
      </c>
      <c r="E9" s="13">
        <f>E10</f>
        <v>150482.09</v>
      </c>
      <c r="F9" s="13">
        <f t="shared" ref="F9:H9" si="2">F10</f>
        <v>0</v>
      </c>
      <c r="G9" s="13">
        <f t="shared" si="2"/>
        <v>0</v>
      </c>
      <c r="H9" s="13">
        <f t="shared" si="2"/>
        <v>150482.09</v>
      </c>
    </row>
    <row r="10" spans="1:8" ht="47.25">
      <c r="A10" s="9"/>
      <c r="B10" s="10"/>
      <c r="C10" s="11">
        <v>2010</v>
      </c>
      <c r="D10" s="12" t="s">
        <v>9</v>
      </c>
      <c r="E10" s="13">
        <v>150482.09</v>
      </c>
      <c r="F10" s="13"/>
      <c r="G10" s="13"/>
      <c r="H10" s="13">
        <f>E10+F10-G10</f>
        <v>150482.09</v>
      </c>
    </row>
    <row r="11" spans="1:8" ht="15.75">
      <c r="A11" s="9">
        <v>20</v>
      </c>
      <c r="B11" s="10"/>
      <c r="C11" s="11"/>
      <c r="D11" s="12" t="s">
        <v>10</v>
      </c>
      <c r="E11" s="13">
        <f>E12</f>
        <v>1000</v>
      </c>
      <c r="F11" s="13">
        <f t="shared" ref="F11:H12" si="3">F12</f>
        <v>0</v>
      </c>
      <c r="G11" s="13">
        <f t="shared" si="3"/>
        <v>0</v>
      </c>
      <c r="H11" s="13">
        <f t="shared" si="3"/>
        <v>1000</v>
      </c>
    </row>
    <row r="12" spans="1:8" ht="15.75">
      <c r="A12" s="9"/>
      <c r="B12" s="10">
        <v>2001</v>
      </c>
      <c r="C12" s="11"/>
      <c r="D12" s="12" t="s">
        <v>11</v>
      </c>
      <c r="E12" s="13">
        <f>E13</f>
        <v>1000</v>
      </c>
      <c r="F12" s="13">
        <f t="shared" si="3"/>
        <v>0</v>
      </c>
      <c r="G12" s="13">
        <f t="shared" si="3"/>
        <v>0</v>
      </c>
      <c r="H12" s="13">
        <f t="shared" si="3"/>
        <v>1000</v>
      </c>
    </row>
    <row r="13" spans="1:8" ht="42.75" customHeight="1">
      <c r="A13" s="9"/>
      <c r="B13" s="10"/>
      <c r="C13" s="11">
        <v>750</v>
      </c>
      <c r="D13" s="12" t="s">
        <v>7</v>
      </c>
      <c r="E13" s="13">
        <v>1000</v>
      </c>
      <c r="F13" s="13"/>
      <c r="G13" s="13"/>
      <c r="H13" s="13">
        <f>E13+F13-G13</f>
        <v>1000</v>
      </c>
    </row>
    <row r="14" spans="1:8" ht="15.75">
      <c r="A14" s="70">
        <v>400</v>
      </c>
      <c r="B14" s="71"/>
      <c r="C14" s="72"/>
      <c r="D14" s="73" t="s">
        <v>104</v>
      </c>
      <c r="E14" s="74">
        <f>E15</f>
        <v>550000</v>
      </c>
      <c r="F14" s="74">
        <f t="shared" ref="F14:H14" si="4">F15</f>
        <v>0</v>
      </c>
      <c r="G14" s="74">
        <f t="shared" si="4"/>
        <v>0</v>
      </c>
      <c r="H14" s="74">
        <f t="shared" si="4"/>
        <v>550000</v>
      </c>
    </row>
    <row r="15" spans="1:8" ht="15.75">
      <c r="A15" s="9"/>
      <c r="B15" s="10">
        <v>40095</v>
      </c>
      <c r="C15" s="11"/>
      <c r="D15" s="12" t="s">
        <v>8</v>
      </c>
      <c r="E15" s="13">
        <f>SUM(E16:E17)</f>
        <v>550000</v>
      </c>
      <c r="F15" s="13">
        <f t="shared" ref="F15:H15" si="5">SUM(F16:F17)</f>
        <v>0</v>
      </c>
      <c r="G15" s="13">
        <f t="shared" si="5"/>
        <v>0</v>
      </c>
      <c r="H15" s="13">
        <f t="shared" si="5"/>
        <v>550000</v>
      </c>
    </row>
    <row r="16" spans="1:8" ht="15.75">
      <c r="A16" s="9"/>
      <c r="B16" s="10"/>
      <c r="C16" s="11">
        <v>840</v>
      </c>
      <c r="D16" s="12" t="s">
        <v>212</v>
      </c>
      <c r="E16" s="13">
        <v>500000</v>
      </c>
      <c r="F16" s="13"/>
      <c r="G16" s="13"/>
      <c r="H16" s="13">
        <f>E16+F16-G16</f>
        <v>500000</v>
      </c>
    </row>
    <row r="17" spans="1:8" ht="15.75">
      <c r="A17" s="70"/>
      <c r="B17" s="71"/>
      <c r="C17" s="72">
        <v>970</v>
      </c>
      <c r="D17" s="73" t="s">
        <v>31</v>
      </c>
      <c r="E17" s="74">
        <v>50000</v>
      </c>
      <c r="F17" s="74"/>
      <c r="G17" s="74"/>
      <c r="H17" s="13">
        <f>E17+F17-G17</f>
        <v>50000</v>
      </c>
    </row>
    <row r="18" spans="1:8" ht="15.75">
      <c r="A18" s="9">
        <v>600</v>
      </c>
      <c r="B18" s="10"/>
      <c r="C18" s="11"/>
      <c r="D18" s="12" t="s">
        <v>12</v>
      </c>
      <c r="E18" s="13">
        <f>E25+E29+E19+E21+E23+E31</f>
        <v>13785598</v>
      </c>
      <c r="F18" s="13">
        <f t="shared" ref="F18:H18" si="6">F25+F29+F19+F21+F23+F31</f>
        <v>625598</v>
      </c>
      <c r="G18" s="13">
        <f t="shared" si="6"/>
        <v>0</v>
      </c>
      <c r="H18" s="13">
        <f t="shared" si="6"/>
        <v>14411196</v>
      </c>
    </row>
    <row r="19" spans="1:8" ht="15.75">
      <c r="A19" s="9"/>
      <c r="B19" s="10">
        <v>60001</v>
      </c>
      <c r="C19" s="11"/>
      <c r="D19" s="12" t="s">
        <v>13</v>
      </c>
      <c r="E19" s="13">
        <f>SUM(E20)</f>
        <v>72</v>
      </c>
      <c r="F19" s="13">
        <f>SUM(F20)</f>
        <v>0</v>
      </c>
      <c r="G19" s="13">
        <f>SUM(G20)</f>
        <v>0</v>
      </c>
      <c r="H19" s="13">
        <f>SUM(H20)</f>
        <v>72</v>
      </c>
    </row>
    <row r="20" spans="1:8" ht="45" customHeight="1">
      <c r="A20" s="70"/>
      <c r="B20" s="71"/>
      <c r="C20" s="72">
        <v>2910</v>
      </c>
      <c r="D20" s="73" t="s">
        <v>348</v>
      </c>
      <c r="E20" s="74">
        <v>72</v>
      </c>
      <c r="F20" s="74"/>
      <c r="G20" s="74"/>
      <c r="H20" s="74">
        <f>E20+F20-G20</f>
        <v>72</v>
      </c>
    </row>
    <row r="21" spans="1:8" ht="15.75">
      <c r="A21" s="9"/>
      <c r="B21" s="10">
        <v>60004</v>
      </c>
      <c r="C21" s="11"/>
      <c r="D21" s="12" t="s">
        <v>14</v>
      </c>
      <c r="E21" s="13">
        <f>SUM(E22)</f>
        <v>14553</v>
      </c>
      <c r="F21" s="13">
        <f t="shared" ref="F21:H21" si="7">SUM(F22)</f>
        <v>0</v>
      </c>
      <c r="G21" s="13">
        <f t="shared" si="7"/>
        <v>0</v>
      </c>
      <c r="H21" s="13">
        <f t="shared" si="7"/>
        <v>14553</v>
      </c>
    </row>
    <row r="22" spans="1:8" ht="45" customHeight="1">
      <c r="A22" s="70"/>
      <c r="B22" s="71"/>
      <c r="C22" s="72">
        <v>2910</v>
      </c>
      <c r="D22" s="73" t="s">
        <v>348</v>
      </c>
      <c r="E22" s="74">
        <v>14553</v>
      </c>
      <c r="F22" s="74"/>
      <c r="G22" s="74"/>
      <c r="H22" s="74">
        <f>E22+F22-G22</f>
        <v>14553</v>
      </c>
    </row>
    <row r="23" spans="1:8" ht="15.75">
      <c r="A23" s="9"/>
      <c r="B23" s="10">
        <v>60014</v>
      </c>
      <c r="C23" s="11"/>
      <c r="D23" s="12" t="s">
        <v>15</v>
      </c>
      <c r="E23" s="13">
        <f>E24</f>
        <v>200000</v>
      </c>
      <c r="F23" s="13">
        <f t="shared" ref="F23:H23" si="8">F24</f>
        <v>0</v>
      </c>
      <c r="G23" s="13">
        <f t="shared" si="8"/>
        <v>0</v>
      </c>
      <c r="H23" s="13">
        <f t="shared" si="8"/>
        <v>200000</v>
      </c>
    </row>
    <row r="24" spans="1:8" ht="45" customHeight="1">
      <c r="A24" s="70"/>
      <c r="B24" s="71"/>
      <c r="C24" s="11">
        <v>6300</v>
      </c>
      <c r="D24" s="12" t="s">
        <v>17</v>
      </c>
      <c r="E24" s="74">
        <v>200000</v>
      </c>
      <c r="F24" s="74"/>
      <c r="G24" s="74"/>
      <c r="H24" s="74">
        <f>E24+F24-G24</f>
        <v>200000</v>
      </c>
    </row>
    <row r="25" spans="1:8" ht="15.75">
      <c r="A25" s="9"/>
      <c r="B25" s="10">
        <v>60016</v>
      </c>
      <c r="C25" s="11"/>
      <c r="D25" s="12" t="s">
        <v>16</v>
      </c>
      <c r="E25" s="13">
        <f>SUM(E26:E28)</f>
        <v>13470973</v>
      </c>
      <c r="F25" s="13">
        <f>SUM(F26:F28)</f>
        <v>374279</v>
      </c>
      <c r="G25" s="13">
        <f>SUM(G26:G28)</f>
        <v>0</v>
      </c>
      <c r="H25" s="13">
        <f>SUM(H26:H28)</f>
        <v>13845252</v>
      </c>
    </row>
    <row r="26" spans="1:8" ht="31.5">
      <c r="A26" s="9"/>
      <c r="B26" s="10"/>
      <c r="C26" s="11">
        <v>620</v>
      </c>
      <c r="D26" s="12" t="s">
        <v>367</v>
      </c>
      <c r="E26" s="13">
        <v>500000</v>
      </c>
      <c r="F26" s="13"/>
      <c r="G26" s="13"/>
      <c r="H26" s="13">
        <f>E26+F26-G26</f>
        <v>500000</v>
      </c>
    </row>
    <row r="27" spans="1:8" ht="29.25" customHeight="1">
      <c r="A27" s="9"/>
      <c r="B27" s="10"/>
      <c r="C27" s="11">
        <v>6290</v>
      </c>
      <c r="D27" s="12" t="s">
        <v>208</v>
      </c>
      <c r="E27" s="13">
        <f>4992138+4978835</f>
        <v>9970973</v>
      </c>
      <c r="F27" s="13">
        <v>374279</v>
      </c>
      <c r="G27" s="13"/>
      <c r="H27" s="13">
        <f>E27+F27-G27</f>
        <v>10345252</v>
      </c>
    </row>
    <row r="28" spans="1:8" ht="29.25" customHeight="1">
      <c r="A28" s="9"/>
      <c r="B28" s="10"/>
      <c r="C28" s="11">
        <v>6370</v>
      </c>
      <c r="D28" s="12" t="s">
        <v>187</v>
      </c>
      <c r="E28" s="13">
        <f>3000000</f>
        <v>3000000</v>
      </c>
      <c r="F28" s="13"/>
      <c r="G28" s="13"/>
      <c r="H28" s="13">
        <f t="shared" ref="H28" si="9">E28+F28-G28</f>
        <v>3000000</v>
      </c>
    </row>
    <row r="29" spans="1:8" ht="15.75">
      <c r="A29" s="9"/>
      <c r="B29" s="10">
        <v>60020</v>
      </c>
      <c r="C29" s="11"/>
      <c r="D29" s="12" t="s">
        <v>192</v>
      </c>
      <c r="E29" s="13">
        <f>SUM(E30)</f>
        <v>100000</v>
      </c>
      <c r="F29" s="13">
        <f t="shared" ref="F29:H29" si="10">SUM(F30)</f>
        <v>0</v>
      </c>
      <c r="G29" s="13">
        <f t="shared" si="10"/>
        <v>0</v>
      </c>
      <c r="H29" s="13">
        <f t="shared" si="10"/>
        <v>100000</v>
      </c>
    </row>
    <row r="30" spans="1:8" ht="28.5" customHeight="1">
      <c r="A30" s="9"/>
      <c r="B30" s="10"/>
      <c r="C30" s="11">
        <v>490</v>
      </c>
      <c r="D30" s="12" t="s">
        <v>51</v>
      </c>
      <c r="E30" s="13">
        <v>100000</v>
      </c>
      <c r="F30" s="13"/>
      <c r="G30" s="13"/>
      <c r="H30" s="13">
        <f>E30+F30-G30</f>
        <v>100000</v>
      </c>
    </row>
    <row r="31" spans="1:8" ht="15.75">
      <c r="A31" s="70"/>
      <c r="B31" s="71">
        <v>60095</v>
      </c>
      <c r="C31" s="72"/>
      <c r="D31" s="73" t="s">
        <v>8</v>
      </c>
      <c r="E31" s="74">
        <f>SUM(E32)</f>
        <v>0</v>
      </c>
      <c r="F31" s="74">
        <f t="shared" ref="F31:H31" si="11">SUM(F32)</f>
        <v>251319</v>
      </c>
      <c r="G31" s="74">
        <f t="shared" si="11"/>
        <v>0</v>
      </c>
      <c r="H31" s="74">
        <f t="shared" si="11"/>
        <v>251319</v>
      </c>
    </row>
    <row r="32" spans="1:8" ht="60.75" customHeight="1">
      <c r="A32" s="70"/>
      <c r="B32" s="71"/>
      <c r="C32" s="72">
        <v>6207</v>
      </c>
      <c r="D32" s="73" t="s">
        <v>425</v>
      </c>
      <c r="E32" s="74"/>
      <c r="F32" s="496">
        <v>251319</v>
      </c>
      <c r="G32" s="75"/>
      <c r="H32" s="75">
        <f>E32+F32-G32</f>
        <v>251319</v>
      </c>
    </row>
    <row r="33" spans="1:8" ht="15.75">
      <c r="A33" s="9">
        <v>700</v>
      </c>
      <c r="B33" s="10"/>
      <c r="C33" s="11"/>
      <c r="D33" s="12" t="s">
        <v>18</v>
      </c>
      <c r="E33" s="13">
        <f>E38+E44+E47+E34</f>
        <v>1614766</v>
      </c>
      <c r="F33" s="13">
        <f t="shared" ref="F33:H33" si="12">F38+F44+F47+F34</f>
        <v>0</v>
      </c>
      <c r="G33" s="13">
        <f t="shared" si="12"/>
        <v>0</v>
      </c>
      <c r="H33" s="13">
        <f t="shared" si="12"/>
        <v>1614766</v>
      </c>
    </row>
    <row r="34" spans="1:8" ht="15.75">
      <c r="A34" s="70"/>
      <c r="B34" s="71">
        <v>70004</v>
      </c>
      <c r="C34" s="72"/>
      <c r="D34" s="73" t="s">
        <v>349</v>
      </c>
      <c r="E34" s="74">
        <f>SUM(E35:E37)</f>
        <v>1778</v>
      </c>
      <c r="F34" s="74">
        <f t="shared" ref="F34:H34" si="13">SUM(F35:F37)</f>
        <v>0</v>
      </c>
      <c r="G34" s="74">
        <f t="shared" si="13"/>
        <v>0</v>
      </c>
      <c r="H34" s="74">
        <f t="shared" si="13"/>
        <v>1778</v>
      </c>
    </row>
    <row r="35" spans="1:8" ht="15.75">
      <c r="A35" s="70"/>
      <c r="B35" s="71"/>
      <c r="C35" s="72">
        <v>690</v>
      </c>
      <c r="D35" s="73" t="s">
        <v>19</v>
      </c>
      <c r="E35" s="74">
        <v>143</v>
      </c>
      <c r="F35" s="74"/>
      <c r="G35" s="74"/>
      <c r="H35" s="74">
        <f>E35+F35-G35</f>
        <v>143</v>
      </c>
    </row>
    <row r="36" spans="1:8" ht="47.25">
      <c r="A36" s="70"/>
      <c r="B36" s="71"/>
      <c r="C36" s="11">
        <v>750</v>
      </c>
      <c r="D36" s="12" t="s">
        <v>7</v>
      </c>
      <c r="E36" s="74">
        <v>1230</v>
      </c>
      <c r="F36" s="74"/>
      <c r="G36" s="74"/>
      <c r="H36" s="74">
        <f t="shared" ref="H36:H37" si="14">E36+F36-G36</f>
        <v>1230</v>
      </c>
    </row>
    <row r="37" spans="1:8" ht="15.75">
      <c r="A37" s="70"/>
      <c r="B37" s="71"/>
      <c r="C37" s="11">
        <v>920</v>
      </c>
      <c r="D37" s="12" t="s">
        <v>20</v>
      </c>
      <c r="E37" s="74">
        <v>405</v>
      </c>
      <c r="F37" s="74"/>
      <c r="G37" s="74"/>
      <c r="H37" s="74">
        <f t="shared" si="14"/>
        <v>405</v>
      </c>
    </row>
    <row r="38" spans="1:8" ht="15.75">
      <c r="A38" s="9"/>
      <c r="B38" s="10">
        <v>70005</v>
      </c>
      <c r="C38" s="11"/>
      <c r="D38" s="12" t="s">
        <v>21</v>
      </c>
      <c r="E38" s="13">
        <f>SUM(E39:E43)</f>
        <v>1112470</v>
      </c>
      <c r="F38" s="13">
        <f t="shared" ref="F38:H38" si="15">SUM(F39:F43)</f>
        <v>0</v>
      </c>
      <c r="G38" s="13">
        <f t="shared" si="15"/>
        <v>0</v>
      </c>
      <c r="H38" s="13">
        <f t="shared" si="15"/>
        <v>1112470</v>
      </c>
    </row>
    <row r="39" spans="1:8" ht="15.75">
      <c r="A39" s="9"/>
      <c r="B39" s="10"/>
      <c r="C39" s="72">
        <v>470</v>
      </c>
      <c r="D39" s="73" t="s">
        <v>350</v>
      </c>
      <c r="E39" s="13">
        <v>48750</v>
      </c>
      <c r="F39" s="13"/>
      <c r="G39" s="13"/>
      <c r="H39" s="13">
        <f>E39+F39-G39</f>
        <v>48750</v>
      </c>
    </row>
    <row r="40" spans="1:8" ht="15.75">
      <c r="A40" s="9"/>
      <c r="B40" s="10"/>
      <c r="C40" s="11">
        <v>550</v>
      </c>
      <c r="D40" s="12" t="s">
        <v>22</v>
      </c>
      <c r="E40" s="13">
        <v>60000</v>
      </c>
      <c r="F40" s="13"/>
      <c r="G40" s="13"/>
      <c r="H40" s="13">
        <f>E40+F40-G40</f>
        <v>60000</v>
      </c>
    </row>
    <row r="41" spans="1:8" ht="47.25">
      <c r="A41" s="9"/>
      <c r="B41" s="10"/>
      <c r="C41" s="11">
        <v>750</v>
      </c>
      <c r="D41" s="12" t="s">
        <v>7</v>
      </c>
      <c r="E41" s="13">
        <v>1000000</v>
      </c>
      <c r="F41" s="13"/>
      <c r="G41" s="13"/>
      <c r="H41" s="13">
        <f t="shared" ref="H41:H43" si="16">E41+F41-G41</f>
        <v>1000000</v>
      </c>
    </row>
    <row r="42" spans="1:8" ht="28.5" customHeight="1">
      <c r="A42" s="9"/>
      <c r="B42" s="10"/>
      <c r="C42" s="11">
        <v>760</v>
      </c>
      <c r="D42" s="12" t="s">
        <v>23</v>
      </c>
      <c r="E42" s="13">
        <v>2000</v>
      </c>
      <c r="F42" s="13"/>
      <c r="G42" s="13"/>
      <c r="H42" s="13">
        <f t="shared" si="16"/>
        <v>2000</v>
      </c>
    </row>
    <row r="43" spans="1:8" ht="15.75">
      <c r="A43" s="9"/>
      <c r="B43" s="10"/>
      <c r="C43" s="11">
        <v>920</v>
      </c>
      <c r="D43" s="12" t="s">
        <v>20</v>
      </c>
      <c r="E43" s="13">
        <v>1720</v>
      </c>
      <c r="F43" s="13"/>
      <c r="G43" s="13"/>
      <c r="H43" s="13">
        <f t="shared" si="16"/>
        <v>1720</v>
      </c>
    </row>
    <row r="44" spans="1:8" ht="15.75">
      <c r="A44" s="9"/>
      <c r="B44" s="10">
        <v>70007</v>
      </c>
      <c r="C44" s="11"/>
      <c r="D44" s="12" t="s">
        <v>24</v>
      </c>
      <c r="E44" s="13">
        <f>SUM(E45:E46)</f>
        <v>350343</v>
      </c>
      <c r="F44" s="13">
        <f t="shared" ref="F44:H44" si="17">SUM(F45:F46)</f>
        <v>0</v>
      </c>
      <c r="G44" s="13">
        <f t="shared" si="17"/>
        <v>0</v>
      </c>
      <c r="H44" s="13">
        <f t="shared" si="17"/>
        <v>350343</v>
      </c>
    </row>
    <row r="45" spans="1:8" ht="47.25">
      <c r="A45" s="9"/>
      <c r="B45" s="10"/>
      <c r="C45" s="11">
        <v>750</v>
      </c>
      <c r="D45" s="12" t="s">
        <v>7</v>
      </c>
      <c r="E45" s="13">
        <v>350000</v>
      </c>
      <c r="F45" s="13"/>
      <c r="G45" s="13"/>
      <c r="H45" s="13">
        <f>E45+F45-G45</f>
        <v>350000</v>
      </c>
    </row>
    <row r="46" spans="1:8" ht="15.75">
      <c r="A46" s="9"/>
      <c r="B46" s="10"/>
      <c r="C46" s="11">
        <v>920</v>
      </c>
      <c r="D46" s="12" t="s">
        <v>20</v>
      </c>
      <c r="E46" s="13">
        <v>343</v>
      </c>
      <c r="F46" s="13"/>
      <c r="G46" s="13"/>
      <c r="H46" s="13">
        <f>E46+F46-G46</f>
        <v>343</v>
      </c>
    </row>
    <row r="47" spans="1:8" ht="15.75">
      <c r="A47" s="9"/>
      <c r="B47" s="10">
        <v>70095</v>
      </c>
      <c r="C47" s="11"/>
      <c r="D47" s="12" t="s">
        <v>8</v>
      </c>
      <c r="E47" s="13">
        <f>SUM(E48:E49)</f>
        <v>150175</v>
      </c>
      <c r="F47" s="13">
        <f t="shared" ref="F47:H47" si="18">SUM(F48:F49)</f>
        <v>0</v>
      </c>
      <c r="G47" s="13">
        <f t="shared" si="18"/>
        <v>0</v>
      </c>
      <c r="H47" s="13">
        <f t="shared" si="18"/>
        <v>150175</v>
      </c>
    </row>
    <row r="48" spans="1:8" ht="15.75">
      <c r="A48" s="9"/>
      <c r="B48" s="10"/>
      <c r="C48" s="11">
        <v>830</v>
      </c>
      <c r="D48" s="12" t="s">
        <v>25</v>
      </c>
      <c r="E48" s="13">
        <v>150000</v>
      </c>
      <c r="F48" s="13"/>
      <c r="G48" s="13"/>
      <c r="H48" s="13">
        <f>E48+F48-G48</f>
        <v>150000</v>
      </c>
    </row>
    <row r="49" spans="1:8" ht="15.75">
      <c r="A49" s="9"/>
      <c r="B49" s="10"/>
      <c r="C49" s="11">
        <v>920</v>
      </c>
      <c r="D49" s="12" t="s">
        <v>20</v>
      </c>
      <c r="E49" s="13">
        <v>175</v>
      </c>
      <c r="F49" s="13"/>
      <c r="G49" s="13"/>
      <c r="H49" s="13">
        <f>E49+F49-G49</f>
        <v>175</v>
      </c>
    </row>
    <row r="50" spans="1:8" ht="15.75">
      <c r="A50" s="9">
        <v>750</v>
      </c>
      <c r="B50" s="10"/>
      <c r="C50" s="11"/>
      <c r="D50" s="12" t="s">
        <v>28</v>
      </c>
      <c r="E50" s="13">
        <f>E51+E53+E56</f>
        <v>1691872.9100000001</v>
      </c>
      <c r="F50" s="13">
        <f t="shared" ref="F50:H50" si="19">F51+F53+F56</f>
        <v>1057825</v>
      </c>
      <c r="G50" s="13">
        <f t="shared" si="19"/>
        <v>850000</v>
      </c>
      <c r="H50" s="13">
        <f t="shared" si="19"/>
        <v>1899697.9100000001</v>
      </c>
    </row>
    <row r="51" spans="1:8" ht="15.75">
      <c r="A51" s="9"/>
      <c r="B51" s="10">
        <v>75011</v>
      </c>
      <c r="C51" s="11"/>
      <c r="D51" s="12" t="s">
        <v>29</v>
      </c>
      <c r="E51" s="13">
        <f>E52</f>
        <v>414302</v>
      </c>
      <c r="F51" s="13">
        <f t="shared" ref="F51:H51" si="20">F52</f>
        <v>0</v>
      </c>
      <c r="G51" s="13">
        <f t="shared" si="20"/>
        <v>0</v>
      </c>
      <c r="H51" s="13">
        <f t="shared" si="20"/>
        <v>414302</v>
      </c>
    </row>
    <row r="52" spans="1:8" ht="47.25">
      <c r="A52" s="9"/>
      <c r="B52" s="10"/>
      <c r="C52" s="11">
        <v>2010</v>
      </c>
      <c r="D52" s="12" t="s">
        <v>9</v>
      </c>
      <c r="E52" s="13">
        <f>300841+91065+22396</f>
        <v>414302</v>
      </c>
      <c r="F52" s="13"/>
      <c r="G52" s="13"/>
      <c r="H52" s="13">
        <f>E52+F52-G52</f>
        <v>414302</v>
      </c>
    </row>
    <row r="53" spans="1:8" ht="15.75">
      <c r="A53" s="9"/>
      <c r="B53" s="10">
        <v>75023</v>
      </c>
      <c r="C53" s="11"/>
      <c r="D53" s="12" t="s">
        <v>30</v>
      </c>
      <c r="E53" s="13">
        <f>SUM(E54:E55)</f>
        <v>425848</v>
      </c>
      <c r="F53" s="13">
        <f t="shared" ref="F53:H53" si="21">SUM(F54:F55)</f>
        <v>0</v>
      </c>
      <c r="G53" s="13">
        <f t="shared" si="21"/>
        <v>0</v>
      </c>
      <c r="H53" s="13">
        <f t="shared" si="21"/>
        <v>425848</v>
      </c>
    </row>
    <row r="54" spans="1:8" ht="15.75">
      <c r="A54" s="9"/>
      <c r="B54" s="10"/>
      <c r="C54" s="72">
        <v>940</v>
      </c>
      <c r="D54" s="73" t="s">
        <v>351</v>
      </c>
      <c r="E54" s="13">
        <v>325848</v>
      </c>
      <c r="F54" s="13"/>
      <c r="G54" s="13"/>
      <c r="H54" s="13">
        <f>E54+F54-G54</f>
        <v>325848</v>
      </c>
    </row>
    <row r="55" spans="1:8" ht="15.75">
      <c r="A55" s="9"/>
      <c r="B55" s="10"/>
      <c r="C55" s="11">
        <v>970</v>
      </c>
      <c r="D55" s="12" t="s">
        <v>31</v>
      </c>
      <c r="E55" s="13">
        <v>100000</v>
      </c>
      <c r="F55" s="13"/>
      <c r="G55" s="13"/>
      <c r="H55" s="13">
        <f>E55+F55-G55</f>
        <v>100000</v>
      </c>
    </row>
    <row r="56" spans="1:8" ht="15.75">
      <c r="A56" s="9"/>
      <c r="B56" s="10">
        <v>75095</v>
      </c>
      <c r="C56" s="11"/>
      <c r="D56" s="12" t="s">
        <v>8</v>
      </c>
      <c r="E56" s="13">
        <f>SUM(E57:E61)</f>
        <v>851722.91</v>
      </c>
      <c r="F56" s="13">
        <f t="shared" ref="F56:H56" si="22">SUM(F57:F61)</f>
        <v>1057825</v>
      </c>
      <c r="G56" s="13">
        <f t="shared" si="22"/>
        <v>850000</v>
      </c>
      <c r="H56" s="13">
        <f t="shared" si="22"/>
        <v>1059547.9100000001</v>
      </c>
    </row>
    <row r="57" spans="1:8" ht="31.5">
      <c r="A57" s="9"/>
      <c r="B57" s="10"/>
      <c r="C57" s="46">
        <v>2100</v>
      </c>
      <c r="D57" s="47" t="s">
        <v>331</v>
      </c>
      <c r="E57" s="13">
        <f>31.38+925.04+766.49</f>
        <v>1722.9099999999999</v>
      </c>
      <c r="F57" s="13"/>
      <c r="G57" s="13"/>
      <c r="H57" s="183">
        <f>E57+F57-G57</f>
        <v>1722.9099999999999</v>
      </c>
    </row>
    <row r="58" spans="1:8" ht="63">
      <c r="A58" s="9"/>
      <c r="B58" s="10"/>
      <c r="C58" s="46">
        <v>6207</v>
      </c>
      <c r="D58" s="73" t="s">
        <v>425</v>
      </c>
      <c r="E58" s="13"/>
      <c r="F58" s="13">
        <v>756500</v>
      </c>
      <c r="G58" s="13"/>
      <c r="H58" s="183">
        <f t="shared" ref="H58:H59" si="23">E58+F58-G58</f>
        <v>756500</v>
      </c>
    </row>
    <row r="59" spans="1:8" ht="63">
      <c r="A59" s="9"/>
      <c r="B59" s="10"/>
      <c r="C59" s="46">
        <v>6209</v>
      </c>
      <c r="D59" s="73" t="s">
        <v>425</v>
      </c>
      <c r="E59" s="13"/>
      <c r="F59" s="13">
        <v>93500</v>
      </c>
      <c r="G59" s="13"/>
      <c r="H59" s="183">
        <f t="shared" si="23"/>
        <v>93500</v>
      </c>
    </row>
    <row r="60" spans="1:8" ht="63">
      <c r="A60" s="9"/>
      <c r="B60" s="137"/>
      <c r="C60" s="138">
        <v>6257</v>
      </c>
      <c r="D60" s="191" t="s">
        <v>27</v>
      </c>
      <c r="E60" s="183">
        <v>756500</v>
      </c>
      <c r="F60" s="183">
        <v>207825</v>
      </c>
      <c r="G60" s="183">
        <v>756500</v>
      </c>
      <c r="H60" s="183">
        <f>E60+F60-G60</f>
        <v>207825</v>
      </c>
    </row>
    <row r="61" spans="1:8" ht="63">
      <c r="A61" s="9"/>
      <c r="B61" s="10"/>
      <c r="C61" s="11">
        <v>6259</v>
      </c>
      <c r="D61" s="47" t="s">
        <v>27</v>
      </c>
      <c r="E61" s="13">
        <v>93500</v>
      </c>
      <c r="F61" s="13"/>
      <c r="G61" s="13">
        <v>93500</v>
      </c>
      <c r="H61" s="183">
        <f>E61+F61-G61</f>
        <v>0</v>
      </c>
    </row>
    <row r="62" spans="1:8" ht="31.5">
      <c r="A62" s="9">
        <v>751</v>
      </c>
      <c r="B62" s="10"/>
      <c r="C62" s="11"/>
      <c r="D62" s="12" t="s">
        <v>32</v>
      </c>
      <c r="E62" s="13">
        <f>E63+E65+E67</f>
        <v>325412</v>
      </c>
      <c r="F62" s="13">
        <f t="shared" ref="F62:H62" si="24">F63+F65+F67</f>
        <v>46829</v>
      </c>
      <c r="G62" s="13">
        <f t="shared" si="24"/>
        <v>0</v>
      </c>
      <c r="H62" s="13">
        <f t="shared" si="24"/>
        <v>372241</v>
      </c>
    </row>
    <row r="63" spans="1:8" ht="17.25" customHeight="1">
      <c r="A63" s="9"/>
      <c r="B63" s="10">
        <v>75101</v>
      </c>
      <c r="C63" s="11"/>
      <c r="D63" s="12" t="s">
        <v>33</v>
      </c>
      <c r="E63" s="13">
        <f>E64</f>
        <v>5849</v>
      </c>
      <c r="F63" s="13">
        <f t="shared" ref="F63:H63" si="25">F64</f>
        <v>0</v>
      </c>
      <c r="G63" s="13">
        <f t="shared" si="25"/>
        <v>0</v>
      </c>
      <c r="H63" s="13">
        <f t="shared" si="25"/>
        <v>5849</v>
      </c>
    </row>
    <row r="64" spans="1:8" ht="47.25">
      <c r="A64" s="9"/>
      <c r="B64" s="10"/>
      <c r="C64" s="11">
        <v>2010</v>
      </c>
      <c r="D64" s="12" t="s">
        <v>9</v>
      </c>
      <c r="E64" s="13">
        <v>5849</v>
      </c>
      <c r="F64" s="13"/>
      <c r="G64" s="13"/>
      <c r="H64" s="13">
        <f>E64+F64-G64</f>
        <v>5849</v>
      </c>
    </row>
    <row r="65" spans="1:8" ht="45.75" customHeight="1">
      <c r="A65" s="70"/>
      <c r="B65" s="71">
        <v>75109</v>
      </c>
      <c r="C65" s="72"/>
      <c r="D65" s="73" t="s">
        <v>358</v>
      </c>
      <c r="E65" s="74">
        <f>E66</f>
        <v>319563</v>
      </c>
      <c r="F65" s="74">
        <f t="shared" ref="F65:H67" si="26">F66</f>
        <v>0</v>
      </c>
      <c r="G65" s="74">
        <f t="shared" si="26"/>
        <v>0</v>
      </c>
      <c r="H65" s="74">
        <f t="shared" si="26"/>
        <v>319563</v>
      </c>
    </row>
    <row r="66" spans="1:8" ht="47.25">
      <c r="A66" s="9"/>
      <c r="B66" s="10"/>
      <c r="C66" s="11">
        <v>2010</v>
      </c>
      <c r="D66" s="12" t="s">
        <v>9</v>
      </c>
      <c r="E66" s="13">
        <f>95111+121000+100792+2660</f>
        <v>319563</v>
      </c>
      <c r="F66" s="13"/>
      <c r="G66" s="13"/>
      <c r="H66" s="74">
        <f>E66+F66-G66</f>
        <v>319563</v>
      </c>
    </row>
    <row r="67" spans="1:8" ht="15.75">
      <c r="A67" s="70"/>
      <c r="B67" s="71">
        <v>75113</v>
      </c>
      <c r="C67" s="72"/>
      <c r="D67" s="73" t="s">
        <v>426</v>
      </c>
      <c r="E67" s="74">
        <f>E68</f>
        <v>0</v>
      </c>
      <c r="F67" s="74">
        <f t="shared" si="26"/>
        <v>46829</v>
      </c>
      <c r="G67" s="74">
        <f t="shared" si="26"/>
        <v>0</v>
      </c>
      <c r="H67" s="74">
        <f t="shared" si="26"/>
        <v>46829</v>
      </c>
    </row>
    <row r="68" spans="1:8" ht="47.25">
      <c r="A68" s="9"/>
      <c r="B68" s="10"/>
      <c r="C68" s="11">
        <v>2010</v>
      </c>
      <c r="D68" s="12" t="s">
        <v>9</v>
      </c>
      <c r="E68" s="13"/>
      <c r="F68" s="13">
        <v>46829</v>
      </c>
      <c r="G68" s="13"/>
      <c r="H68" s="74">
        <f>E68+F68-G68</f>
        <v>46829</v>
      </c>
    </row>
    <row r="69" spans="1:8" ht="15.75">
      <c r="A69" s="9">
        <v>754</v>
      </c>
      <c r="B69" s="10"/>
      <c r="C69" s="11"/>
      <c r="D69" s="12" t="s">
        <v>34</v>
      </c>
      <c r="E69" s="13">
        <f>E70</f>
        <v>20000</v>
      </c>
      <c r="F69" s="13">
        <f t="shared" ref="F69:H70" si="27">F70</f>
        <v>0</v>
      </c>
      <c r="G69" s="13">
        <f t="shared" si="27"/>
        <v>0</v>
      </c>
      <c r="H69" s="13">
        <f t="shared" si="27"/>
        <v>20000</v>
      </c>
    </row>
    <row r="70" spans="1:8" ht="15.75">
      <c r="A70" s="9"/>
      <c r="B70" s="10">
        <v>75416</v>
      </c>
      <c r="C70" s="11"/>
      <c r="D70" s="12" t="s">
        <v>35</v>
      </c>
      <c r="E70" s="13">
        <f>E71</f>
        <v>20000</v>
      </c>
      <c r="F70" s="13">
        <f t="shared" si="27"/>
        <v>0</v>
      </c>
      <c r="G70" s="13">
        <f t="shared" si="27"/>
        <v>0</v>
      </c>
      <c r="H70" s="13">
        <f t="shared" si="27"/>
        <v>20000</v>
      </c>
    </row>
    <row r="71" spans="1:8" ht="18" customHeight="1">
      <c r="A71" s="9"/>
      <c r="B71" s="10"/>
      <c r="C71" s="11">
        <v>570</v>
      </c>
      <c r="D71" s="12" t="s">
        <v>36</v>
      </c>
      <c r="E71" s="13">
        <v>20000</v>
      </c>
      <c r="F71" s="13"/>
      <c r="G71" s="13"/>
      <c r="H71" s="13">
        <f>E71+F71-G71</f>
        <v>20000</v>
      </c>
    </row>
    <row r="72" spans="1:8" ht="36.75" customHeight="1">
      <c r="A72" s="9">
        <v>756</v>
      </c>
      <c r="B72" s="10"/>
      <c r="C72" s="11"/>
      <c r="D72" s="12" t="s">
        <v>37</v>
      </c>
      <c r="E72" s="13">
        <f>E73+E75+E82+E91+E98</f>
        <v>169903404</v>
      </c>
      <c r="F72" s="13">
        <f t="shared" ref="F72:H72" si="28">F73+F75+F82+F91+F98</f>
        <v>0</v>
      </c>
      <c r="G72" s="13">
        <f t="shared" si="28"/>
        <v>0</v>
      </c>
      <c r="H72" s="13">
        <f t="shared" si="28"/>
        <v>169903404</v>
      </c>
    </row>
    <row r="73" spans="1:8" ht="15.75">
      <c r="A73" s="9"/>
      <c r="B73" s="10">
        <v>75601</v>
      </c>
      <c r="C73" s="11"/>
      <c r="D73" s="12" t="s">
        <v>38</v>
      </c>
      <c r="E73" s="13">
        <f>SUM(E74)</f>
        <v>150000</v>
      </c>
      <c r="F73" s="13">
        <f t="shared" ref="F73:H73" si="29">SUM(F74)</f>
        <v>0</v>
      </c>
      <c r="G73" s="13">
        <f t="shared" si="29"/>
        <v>0</v>
      </c>
      <c r="H73" s="13">
        <f t="shared" si="29"/>
        <v>150000</v>
      </c>
    </row>
    <row r="74" spans="1:8" ht="28.5" customHeight="1">
      <c r="A74" s="9"/>
      <c r="B74" s="10"/>
      <c r="C74" s="11">
        <v>350</v>
      </c>
      <c r="D74" s="12" t="s">
        <v>39</v>
      </c>
      <c r="E74" s="13">
        <v>150000</v>
      </c>
      <c r="F74" s="13"/>
      <c r="G74" s="13"/>
      <c r="H74" s="13">
        <f>E74+F74-G74</f>
        <v>150000</v>
      </c>
    </row>
    <row r="75" spans="1:8" ht="44.25" customHeight="1">
      <c r="A75" s="62"/>
      <c r="B75" s="10">
        <v>75615</v>
      </c>
      <c r="C75" s="11"/>
      <c r="D75" s="12" t="s">
        <v>41</v>
      </c>
      <c r="E75" s="13">
        <f>SUM(E76:E81)</f>
        <v>42320000</v>
      </c>
      <c r="F75" s="13">
        <f t="shared" ref="F75:H75" si="30">SUM(F76:F81)</f>
        <v>0</v>
      </c>
      <c r="G75" s="13">
        <f t="shared" si="30"/>
        <v>0</v>
      </c>
      <c r="H75" s="13">
        <f t="shared" si="30"/>
        <v>42320000</v>
      </c>
    </row>
    <row r="76" spans="1:8" ht="15.75">
      <c r="A76" s="9"/>
      <c r="B76" s="10"/>
      <c r="C76" s="11">
        <v>310</v>
      </c>
      <c r="D76" s="12" t="s">
        <v>42</v>
      </c>
      <c r="E76" s="13">
        <v>38700000</v>
      </c>
      <c r="F76" s="13"/>
      <c r="G76" s="13"/>
      <c r="H76" s="13">
        <f>E76+F76-G76</f>
        <v>38700000</v>
      </c>
    </row>
    <row r="77" spans="1:8" ht="15.75">
      <c r="A77" s="9"/>
      <c r="B77" s="10"/>
      <c r="C77" s="11">
        <v>320</v>
      </c>
      <c r="D77" s="12" t="s">
        <v>43</v>
      </c>
      <c r="E77" s="13">
        <v>40000</v>
      </c>
      <c r="F77" s="13"/>
      <c r="G77" s="13"/>
      <c r="H77" s="13">
        <f t="shared" ref="H77:H81" si="31">E77+F77-G77</f>
        <v>40000</v>
      </c>
    </row>
    <row r="78" spans="1:8" ht="15.75">
      <c r="A78" s="9"/>
      <c r="B78" s="10"/>
      <c r="C78" s="11">
        <v>330</v>
      </c>
      <c r="D78" s="12" t="s">
        <v>44</v>
      </c>
      <c r="E78" s="13">
        <v>30000</v>
      </c>
      <c r="F78" s="13"/>
      <c r="G78" s="13"/>
      <c r="H78" s="13">
        <f t="shared" si="31"/>
        <v>30000</v>
      </c>
    </row>
    <row r="79" spans="1:8" ht="15.75">
      <c r="A79" s="9"/>
      <c r="B79" s="10"/>
      <c r="C79" s="11">
        <v>340</v>
      </c>
      <c r="D79" s="12" t="s">
        <v>45</v>
      </c>
      <c r="E79" s="13">
        <v>2500000</v>
      </c>
      <c r="F79" s="13"/>
      <c r="G79" s="13"/>
      <c r="H79" s="13">
        <f t="shared" si="31"/>
        <v>2500000</v>
      </c>
    </row>
    <row r="80" spans="1:8" ht="15.75">
      <c r="A80" s="9"/>
      <c r="B80" s="10"/>
      <c r="C80" s="11">
        <v>500</v>
      </c>
      <c r="D80" s="12" t="s">
        <v>46</v>
      </c>
      <c r="E80" s="13">
        <v>1000000</v>
      </c>
      <c r="F80" s="13"/>
      <c r="G80" s="13"/>
      <c r="H80" s="13">
        <f t="shared" si="31"/>
        <v>1000000</v>
      </c>
    </row>
    <row r="81" spans="1:8" ht="15.75">
      <c r="A81" s="9"/>
      <c r="B81" s="10"/>
      <c r="C81" s="11">
        <v>910</v>
      </c>
      <c r="D81" s="12" t="s">
        <v>40</v>
      </c>
      <c r="E81" s="13">
        <v>50000</v>
      </c>
      <c r="F81" s="13"/>
      <c r="G81" s="13"/>
      <c r="H81" s="13">
        <f t="shared" si="31"/>
        <v>50000</v>
      </c>
    </row>
    <row r="82" spans="1:8" ht="43.5" customHeight="1">
      <c r="A82" s="9"/>
      <c r="B82" s="10">
        <v>75616</v>
      </c>
      <c r="C82" s="11"/>
      <c r="D82" s="12" t="s">
        <v>210</v>
      </c>
      <c r="E82" s="13">
        <f>SUM(E83:E90)</f>
        <v>14332000</v>
      </c>
      <c r="F82" s="13">
        <f t="shared" ref="F82:H82" si="32">SUM(F83:F90)</f>
        <v>0</v>
      </c>
      <c r="G82" s="13">
        <f t="shared" si="32"/>
        <v>0</v>
      </c>
      <c r="H82" s="13">
        <f t="shared" si="32"/>
        <v>14332000</v>
      </c>
    </row>
    <row r="83" spans="1:8" ht="15.75">
      <c r="A83" s="9"/>
      <c r="B83" s="10"/>
      <c r="C83" s="11">
        <v>310</v>
      </c>
      <c r="D83" s="12" t="s">
        <v>42</v>
      </c>
      <c r="E83" s="13">
        <v>9200000</v>
      </c>
      <c r="F83" s="13"/>
      <c r="G83" s="13"/>
      <c r="H83" s="13">
        <f>E83+F83-G83</f>
        <v>9200000</v>
      </c>
    </row>
    <row r="84" spans="1:8" ht="15.75">
      <c r="A84" s="9"/>
      <c r="B84" s="10"/>
      <c r="C84" s="11">
        <v>320</v>
      </c>
      <c r="D84" s="12" t="s">
        <v>43</v>
      </c>
      <c r="E84" s="13">
        <v>380000</v>
      </c>
      <c r="F84" s="13"/>
      <c r="G84" s="13"/>
      <c r="H84" s="13">
        <f t="shared" ref="H84:H90" si="33">E84+F84-G84</f>
        <v>380000</v>
      </c>
    </row>
    <row r="85" spans="1:8" ht="15.75">
      <c r="A85" s="9"/>
      <c r="B85" s="10"/>
      <c r="C85" s="11">
        <v>330</v>
      </c>
      <c r="D85" s="12" t="s">
        <v>44</v>
      </c>
      <c r="E85" s="13">
        <v>1000</v>
      </c>
      <c r="F85" s="13"/>
      <c r="G85" s="13"/>
      <c r="H85" s="13">
        <f t="shared" si="33"/>
        <v>1000</v>
      </c>
    </row>
    <row r="86" spans="1:8" ht="15.75">
      <c r="A86" s="9"/>
      <c r="B86" s="10"/>
      <c r="C86" s="11">
        <v>340</v>
      </c>
      <c r="D86" s="12" t="s">
        <v>45</v>
      </c>
      <c r="E86" s="13">
        <v>750000</v>
      </c>
      <c r="F86" s="13"/>
      <c r="G86" s="13"/>
      <c r="H86" s="13">
        <f t="shared" si="33"/>
        <v>750000</v>
      </c>
    </row>
    <row r="87" spans="1:8" ht="15.75">
      <c r="A87" s="9"/>
      <c r="B87" s="10"/>
      <c r="C87" s="11">
        <v>360</v>
      </c>
      <c r="D87" s="12" t="s">
        <v>47</v>
      </c>
      <c r="E87" s="13">
        <v>150000</v>
      </c>
      <c r="F87" s="13"/>
      <c r="G87" s="13"/>
      <c r="H87" s="13">
        <f t="shared" si="33"/>
        <v>150000</v>
      </c>
    </row>
    <row r="88" spans="1:8" ht="15.75">
      <c r="A88" s="9"/>
      <c r="B88" s="10"/>
      <c r="C88" s="11">
        <v>500</v>
      </c>
      <c r="D88" s="12" t="s">
        <v>46</v>
      </c>
      <c r="E88" s="13">
        <v>3800000</v>
      </c>
      <c r="F88" s="13"/>
      <c r="G88" s="13"/>
      <c r="H88" s="13">
        <f t="shared" si="33"/>
        <v>3800000</v>
      </c>
    </row>
    <row r="89" spans="1:8" ht="15.75" customHeight="1">
      <c r="A89" s="9"/>
      <c r="B89" s="10"/>
      <c r="C89" s="11">
        <v>570</v>
      </c>
      <c r="D89" s="12" t="s">
        <v>36</v>
      </c>
      <c r="E89" s="13">
        <v>1000</v>
      </c>
      <c r="F89" s="13"/>
      <c r="G89" s="13"/>
      <c r="H89" s="13">
        <f t="shared" si="33"/>
        <v>1000</v>
      </c>
    </row>
    <row r="90" spans="1:8" ht="15.75">
      <c r="A90" s="9"/>
      <c r="B90" s="10"/>
      <c r="C90" s="11">
        <v>910</v>
      </c>
      <c r="D90" s="12" t="s">
        <v>40</v>
      </c>
      <c r="E90" s="13">
        <v>50000</v>
      </c>
      <c r="F90" s="13"/>
      <c r="G90" s="13"/>
      <c r="H90" s="13">
        <f t="shared" si="33"/>
        <v>50000</v>
      </c>
    </row>
    <row r="91" spans="1:8" ht="31.5">
      <c r="A91" s="9"/>
      <c r="B91" s="10">
        <v>75618</v>
      </c>
      <c r="C91" s="11"/>
      <c r="D91" s="12" t="s">
        <v>48</v>
      </c>
      <c r="E91" s="13">
        <f>SUM(E92:E97)</f>
        <v>1949185</v>
      </c>
      <c r="F91" s="13">
        <f t="shared" ref="F91:H91" si="34">SUM(F92:F97)</f>
        <v>0</v>
      </c>
      <c r="G91" s="13">
        <f t="shared" si="34"/>
        <v>0</v>
      </c>
      <c r="H91" s="13">
        <f t="shared" si="34"/>
        <v>1949185</v>
      </c>
    </row>
    <row r="92" spans="1:8" ht="29.25" customHeight="1">
      <c r="A92" s="9"/>
      <c r="B92" s="10"/>
      <c r="C92" s="11">
        <v>270</v>
      </c>
      <c r="D92" s="12" t="s">
        <v>189</v>
      </c>
      <c r="E92" s="13">
        <v>246143</v>
      </c>
      <c r="F92" s="13"/>
      <c r="G92" s="13"/>
      <c r="H92" s="13">
        <f>E92+F92-G92</f>
        <v>246143</v>
      </c>
    </row>
    <row r="93" spans="1:8" ht="15.75">
      <c r="A93" s="9"/>
      <c r="B93" s="10"/>
      <c r="C93" s="11">
        <v>410</v>
      </c>
      <c r="D93" s="12" t="s">
        <v>49</v>
      </c>
      <c r="E93" s="13">
        <v>120000</v>
      </c>
      <c r="F93" s="13"/>
      <c r="G93" s="13"/>
      <c r="H93" s="13">
        <f t="shared" ref="H93:H97" si="35">E93+F93-G93</f>
        <v>120000</v>
      </c>
    </row>
    <row r="94" spans="1:8" ht="15.75">
      <c r="A94" s="9"/>
      <c r="B94" s="10"/>
      <c r="C94" s="11">
        <v>480</v>
      </c>
      <c r="D94" s="12" t="s">
        <v>50</v>
      </c>
      <c r="E94" s="13">
        <v>880000</v>
      </c>
      <c r="F94" s="13"/>
      <c r="G94" s="13"/>
      <c r="H94" s="13">
        <f t="shared" si="35"/>
        <v>880000</v>
      </c>
    </row>
    <row r="95" spans="1:8" ht="31.5">
      <c r="A95" s="9"/>
      <c r="B95" s="10"/>
      <c r="C95" s="11">
        <v>490</v>
      </c>
      <c r="D95" s="12" t="s">
        <v>51</v>
      </c>
      <c r="E95" s="13">
        <f>1200000-500000</f>
        <v>700000</v>
      </c>
      <c r="F95" s="13"/>
      <c r="G95" s="13"/>
      <c r="H95" s="13">
        <f t="shared" si="35"/>
        <v>700000</v>
      </c>
    </row>
    <row r="96" spans="1:8" ht="15.75">
      <c r="A96" s="9"/>
      <c r="B96" s="10"/>
      <c r="C96" s="11">
        <v>590</v>
      </c>
      <c r="D96" s="12" t="s">
        <v>352</v>
      </c>
      <c r="E96" s="13">
        <v>1412</v>
      </c>
      <c r="F96" s="13"/>
      <c r="G96" s="13"/>
      <c r="H96" s="13">
        <f t="shared" si="35"/>
        <v>1412</v>
      </c>
    </row>
    <row r="97" spans="1:8" ht="15.75">
      <c r="A97" s="9"/>
      <c r="B97" s="10"/>
      <c r="C97" s="11">
        <v>920</v>
      </c>
      <c r="D97" s="12" t="s">
        <v>20</v>
      </c>
      <c r="E97" s="13">
        <v>1630</v>
      </c>
      <c r="F97" s="13"/>
      <c r="G97" s="13"/>
      <c r="H97" s="13">
        <f t="shared" si="35"/>
        <v>1630</v>
      </c>
    </row>
    <row r="98" spans="1:8" ht="15.75">
      <c r="A98" s="9"/>
      <c r="B98" s="10">
        <v>75621</v>
      </c>
      <c r="C98" s="11"/>
      <c r="D98" s="12" t="s">
        <v>52</v>
      </c>
      <c r="E98" s="13">
        <f>SUM(E99:E100)</f>
        <v>111152219</v>
      </c>
      <c r="F98" s="13">
        <f t="shared" ref="F98:H98" si="36">SUM(F99:F100)</f>
        <v>0</v>
      </c>
      <c r="G98" s="13">
        <f t="shared" si="36"/>
        <v>0</v>
      </c>
      <c r="H98" s="13">
        <f t="shared" si="36"/>
        <v>111152219</v>
      </c>
    </row>
    <row r="99" spans="1:8" ht="15.75">
      <c r="A99" s="9"/>
      <c r="B99" s="10"/>
      <c r="C99" s="11">
        <v>10</v>
      </c>
      <c r="D99" s="12" t="s">
        <v>38</v>
      </c>
      <c r="E99" s="13">
        <v>91850528</v>
      </c>
      <c r="F99" s="13"/>
      <c r="G99" s="13"/>
      <c r="H99" s="13">
        <f>E99+F99-G99</f>
        <v>91850528</v>
      </c>
    </row>
    <row r="100" spans="1:8" ht="15.75">
      <c r="A100" s="9"/>
      <c r="B100" s="10"/>
      <c r="C100" s="11">
        <v>20</v>
      </c>
      <c r="D100" s="12" t="s">
        <v>53</v>
      </c>
      <c r="E100" s="13">
        <v>19301691</v>
      </c>
      <c r="F100" s="13"/>
      <c r="G100" s="13"/>
      <c r="H100" s="13">
        <f>E100+F100-G100</f>
        <v>19301691</v>
      </c>
    </row>
    <row r="101" spans="1:8" ht="15.75">
      <c r="A101" s="9">
        <v>758</v>
      </c>
      <c r="B101" s="10"/>
      <c r="C101" s="11"/>
      <c r="D101" s="12" t="s">
        <v>54</v>
      </c>
      <c r="E101" s="13">
        <f>E102+E106+E104</f>
        <v>64194794</v>
      </c>
      <c r="F101" s="13">
        <f t="shared" ref="F101:H101" si="37">F102+F106+F104</f>
        <v>2940452</v>
      </c>
      <c r="G101" s="13">
        <f t="shared" si="37"/>
        <v>0</v>
      </c>
      <c r="H101" s="13">
        <f t="shared" si="37"/>
        <v>67135246</v>
      </c>
    </row>
    <row r="102" spans="1:8" ht="15.75" customHeight="1">
      <c r="A102" s="9"/>
      <c r="B102" s="10">
        <v>75801</v>
      </c>
      <c r="C102" s="11"/>
      <c r="D102" s="12" t="s">
        <v>55</v>
      </c>
      <c r="E102" s="13">
        <f>SUM(E103)</f>
        <v>64134794</v>
      </c>
      <c r="F102" s="13">
        <f t="shared" ref="F102:H104" si="38">SUM(F103)</f>
        <v>0</v>
      </c>
      <c r="G102" s="13">
        <f t="shared" si="38"/>
        <v>0</v>
      </c>
      <c r="H102" s="13">
        <f t="shared" si="38"/>
        <v>64134794</v>
      </c>
    </row>
    <row r="103" spans="1:8" ht="15.75">
      <c r="A103" s="9"/>
      <c r="B103" s="10"/>
      <c r="C103" s="11">
        <v>2920</v>
      </c>
      <c r="D103" s="12" t="s">
        <v>56</v>
      </c>
      <c r="E103" s="13">
        <f>55847766+8287028</f>
        <v>64134794</v>
      </c>
      <c r="F103" s="13"/>
      <c r="G103" s="13"/>
      <c r="H103" s="13">
        <f>E103+F103-G103</f>
        <v>64134794</v>
      </c>
    </row>
    <row r="104" spans="1:8" ht="17.25" customHeight="1">
      <c r="A104" s="9"/>
      <c r="B104" s="10">
        <v>75806</v>
      </c>
      <c r="C104" s="11"/>
      <c r="D104" s="12" t="s">
        <v>427</v>
      </c>
      <c r="E104" s="13">
        <f>SUM(E105)</f>
        <v>0</v>
      </c>
      <c r="F104" s="13">
        <f t="shared" si="38"/>
        <v>2940452</v>
      </c>
      <c r="G104" s="13">
        <f t="shared" si="38"/>
        <v>0</v>
      </c>
      <c r="H104" s="13">
        <f t="shared" si="38"/>
        <v>2940452</v>
      </c>
    </row>
    <row r="105" spans="1:8" ht="15.75">
      <c r="A105" s="9"/>
      <c r="B105" s="10"/>
      <c r="C105" s="11">
        <v>2920</v>
      </c>
      <c r="D105" s="12" t="s">
        <v>56</v>
      </c>
      <c r="E105" s="13"/>
      <c r="F105" s="13">
        <v>2940452</v>
      </c>
      <c r="G105" s="13"/>
      <c r="H105" s="13">
        <f>E105+F105-G105</f>
        <v>2940452</v>
      </c>
    </row>
    <row r="106" spans="1:8" ht="15.75">
      <c r="A106" s="9"/>
      <c r="B106" s="10">
        <v>75814</v>
      </c>
      <c r="C106" s="11"/>
      <c r="D106" s="12" t="s">
        <v>57</v>
      </c>
      <c r="E106" s="13">
        <f>E107</f>
        <v>60000</v>
      </c>
      <c r="F106" s="13">
        <f t="shared" ref="F106:H106" si="39">F107</f>
        <v>0</v>
      </c>
      <c r="G106" s="13">
        <f t="shared" si="39"/>
        <v>0</v>
      </c>
      <c r="H106" s="13">
        <f t="shared" si="39"/>
        <v>60000</v>
      </c>
    </row>
    <row r="107" spans="1:8" ht="15.75">
      <c r="A107" s="9"/>
      <c r="B107" s="10"/>
      <c r="C107" s="11">
        <v>920</v>
      </c>
      <c r="D107" s="12" t="s">
        <v>20</v>
      </c>
      <c r="E107" s="13">
        <v>60000</v>
      </c>
      <c r="F107" s="13"/>
      <c r="G107" s="13"/>
      <c r="H107" s="13">
        <f>E107+F107-G107</f>
        <v>60000</v>
      </c>
    </row>
    <row r="108" spans="1:8" ht="15.75">
      <c r="A108" s="9">
        <v>801</v>
      </c>
      <c r="B108" s="10"/>
      <c r="C108" s="11"/>
      <c r="D108" s="12" t="s">
        <v>58</v>
      </c>
      <c r="E108" s="13">
        <f>E109+E116+E119+E125+E130+E132+E127</f>
        <v>6248501.3200000003</v>
      </c>
      <c r="F108" s="13">
        <f t="shared" ref="F108:H108" si="40">F109+F116+F119+F125+F130+F132+F127</f>
        <v>6624438</v>
      </c>
      <c r="G108" s="13">
        <f t="shared" si="40"/>
        <v>0</v>
      </c>
      <c r="H108" s="13">
        <f t="shared" si="40"/>
        <v>12872939.32</v>
      </c>
    </row>
    <row r="109" spans="1:8" ht="15.75">
      <c r="A109" s="9"/>
      <c r="B109" s="10">
        <v>80101</v>
      </c>
      <c r="C109" s="11"/>
      <c r="D109" s="12" t="s">
        <v>59</v>
      </c>
      <c r="E109" s="13">
        <f>SUM(E110:E115)</f>
        <v>3075524.32</v>
      </c>
      <c r="F109" s="13">
        <f t="shared" ref="F109:H109" si="41">SUM(F110:F115)</f>
        <v>35443</v>
      </c>
      <c r="G109" s="13">
        <f t="shared" si="41"/>
        <v>0</v>
      </c>
      <c r="H109" s="13">
        <f t="shared" si="41"/>
        <v>3110967.32</v>
      </c>
    </row>
    <row r="110" spans="1:8" ht="15.75">
      <c r="A110" s="9"/>
      <c r="B110" s="10"/>
      <c r="C110" s="11">
        <v>830</v>
      </c>
      <c r="D110" s="12" t="s">
        <v>25</v>
      </c>
      <c r="E110" s="13">
        <v>70000</v>
      </c>
      <c r="F110" s="13"/>
      <c r="G110" s="13"/>
      <c r="H110" s="13">
        <f>E110+F110-G110</f>
        <v>70000</v>
      </c>
    </row>
    <row r="111" spans="1:8" ht="15.75">
      <c r="A111" s="9"/>
      <c r="B111" s="10"/>
      <c r="C111" s="72">
        <v>950</v>
      </c>
      <c r="D111" s="73" t="s">
        <v>428</v>
      </c>
      <c r="E111" s="13"/>
      <c r="F111" s="13">
        <v>4000</v>
      </c>
      <c r="G111" s="13"/>
      <c r="H111" s="13">
        <f t="shared" ref="H111:H113" si="42">E111+F111-G111</f>
        <v>4000</v>
      </c>
    </row>
    <row r="112" spans="1:8" ht="15.75">
      <c r="A112" s="9"/>
      <c r="B112" s="10"/>
      <c r="C112" s="72">
        <v>970</v>
      </c>
      <c r="D112" s="73" t="s">
        <v>31</v>
      </c>
      <c r="E112" s="13"/>
      <c r="F112" s="13">
        <v>1875</v>
      </c>
      <c r="G112" s="13"/>
      <c r="H112" s="13">
        <f t="shared" si="42"/>
        <v>1875</v>
      </c>
    </row>
    <row r="113" spans="1:8" ht="45" customHeight="1">
      <c r="A113" s="9"/>
      <c r="B113" s="10"/>
      <c r="C113" s="72">
        <v>2460</v>
      </c>
      <c r="D113" s="73" t="s">
        <v>429</v>
      </c>
      <c r="E113" s="13"/>
      <c r="F113" s="13">
        <v>25970</v>
      </c>
      <c r="G113" s="13"/>
      <c r="H113" s="13">
        <f t="shared" si="42"/>
        <v>25970</v>
      </c>
    </row>
    <row r="114" spans="1:8" ht="42.75" customHeight="1">
      <c r="A114" s="9"/>
      <c r="B114" s="10"/>
      <c r="C114" s="72">
        <v>2700</v>
      </c>
      <c r="D114" s="12" t="s">
        <v>353</v>
      </c>
      <c r="E114" s="13">
        <v>5524.32</v>
      </c>
      <c r="F114" s="13">
        <v>3598</v>
      </c>
      <c r="G114" s="13"/>
      <c r="H114" s="13">
        <f>E114+F114-G114</f>
        <v>9122.32</v>
      </c>
    </row>
    <row r="115" spans="1:8" ht="31.5">
      <c r="A115" s="62"/>
      <c r="B115" s="63"/>
      <c r="C115" s="11">
        <v>6370</v>
      </c>
      <c r="D115" s="12" t="s">
        <v>187</v>
      </c>
      <c r="E115" s="13">
        <f>1000000+2000000</f>
        <v>3000000</v>
      </c>
      <c r="F115" s="13"/>
      <c r="G115" s="13"/>
      <c r="H115" s="13">
        <f>E115+F115-G115</f>
        <v>3000000</v>
      </c>
    </row>
    <row r="116" spans="1:8" ht="15.75">
      <c r="A116" s="9"/>
      <c r="B116" s="10">
        <v>80103</v>
      </c>
      <c r="C116" s="11"/>
      <c r="D116" s="12" t="s">
        <v>60</v>
      </c>
      <c r="E116" s="13">
        <f>SUM(E117:E118)</f>
        <v>30000</v>
      </c>
      <c r="F116" s="13">
        <f t="shared" ref="F116:H116" si="43">SUM(F117:F118)</f>
        <v>3000</v>
      </c>
      <c r="G116" s="13">
        <f t="shared" si="43"/>
        <v>0</v>
      </c>
      <c r="H116" s="13">
        <f t="shared" si="43"/>
        <v>33000</v>
      </c>
    </row>
    <row r="117" spans="1:8" ht="31.5">
      <c r="A117" s="9"/>
      <c r="B117" s="10"/>
      <c r="C117" s="11">
        <v>2030</v>
      </c>
      <c r="D117" s="12" t="s">
        <v>65</v>
      </c>
      <c r="E117" s="13"/>
      <c r="F117" s="13">
        <v>3000</v>
      </c>
      <c r="G117" s="13"/>
      <c r="H117" s="13">
        <f>E117+F117-G117</f>
        <v>3000</v>
      </c>
    </row>
    <row r="118" spans="1:8" ht="29.25" customHeight="1">
      <c r="A118" s="9"/>
      <c r="B118" s="10"/>
      <c r="C118" s="11">
        <v>2310</v>
      </c>
      <c r="D118" s="12" t="s">
        <v>61</v>
      </c>
      <c r="E118" s="13">
        <v>30000</v>
      </c>
      <c r="F118" s="13"/>
      <c r="G118" s="13"/>
      <c r="H118" s="13">
        <f>E118+F118-G118</f>
        <v>30000</v>
      </c>
    </row>
    <row r="119" spans="1:8" ht="15.75">
      <c r="A119" s="62"/>
      <c r="B119" s="10">
        <v>80104</v>
      </c>
      <c r="C119" s="11"/>
      <c r="D119" s="12" t="s">
        <v>62</v>
      </c>
      <c r="E119" s="13">
        <f>SUM(E120:E124)</f>
        <v>2404730</v>
      </c>
      <c r="F119" s="13">
        <f t="shared" ref="F119:H119" si="44">SUM(F120:F124)</f>
        <v>6377878</v>
      </c>
      <c r="G119" s="13">
        <f t="shared" si="44"/>
        <v>0</v>
      </c>
      <c r="H119" s="13">
        <f t="shared" si="44"/>
        <v>8782608</v>
      </c>
    </row>
    <row r="120" spans="1:8" ht="15.75">
      <c r="A120" s="62"/>
      <c r="B120" s="10"/>
      <c r="C120" s="11">
        <v>660</v>
      </c>
      <c r="D120" s="12" t="s">
        <v>63</v>
      </c>
      <c r="E120" s="13">
        <f>52400+72030+70000+53000</f>
        <v>247430</v>
      </c>
      <c r="F120" s="13"/>
      <c r="G120" s="13"/>
      <c r="H120" s="13">
        <f>E120+F120-G120</f>
        <v>247430</v>
      </c>
    </row>
    <row r="121" spans="1:8" ht="29.25" customHeight="1">
      <c r="A121" s="62"/>
      <c r="B121" s="10"/>
      <c r="C121" s="11">
        <v>670</v>
      </c>
      <c r="D121" s="12" t="s">
        <v>64</v>
      </c>
      <c r="E121" s="13">
        <f>360600+308700+378000+240000</f>
        <v>1287300</v>
      </c>
      <c r="F121" s="13"/>
      <c r="G121" s="13"/>
      <c r="H121" s="13">
        <f t="shared" ref="H121:H124" si="45">E121+F121-G121</f>
        <v>1287300</v>
      </c>
    </row>
    <row r="122" spans="1:8" ht="15.75">
      <c r="A122" s="9"/>
      <c r="B122" s="10"/>
      <c r="C122" s="11">
        <v>830</v>
      </c>
      <c r="D122" s="12" t="s">
        <v>25</v>
      </c>
      <c r="E122" s="13">
        <v>20000</v>
      </c>
      <c r="F122" s="13"/>
      <c r="G122" s="13"/>
      <c r="H122" s="13">
        <f t="shared" si="45"/>
        <v>20000</v>
      </c>
    </row>
    <row r="123" spans="1:8" ht="31.5">
      <c r="A123" s="9"/>
      <c r="B123" s="10"/>
      <c r="C123" s="11">
        <v>2030</v>
      </c>
      <c r="D123" s="12" t="s">
        <v>65</v>
      </c>
      <c r="E123" s="13"/>
      <c r="F123" s="13">
        <v>6377878</v>
      </c>
      <c r="G123" s="13"/>
      <c r="H123" s="13">
        <f t="shared" si="45"/>
        <v>6377878</v>
      </c>
    </row>
    <row r="124" spans="1:8" ht="27.75" customHeight="1">
      <c r="A124" s="9"/>
      <c r="B124" s="10"/>
      <c r="C124" s="11">
        <v>2310</v>
      </c>
      <c r="D124" s="12" t="s">
        <v>61</v>
      </c>
      <c r="E124" s="13">
        <v>850000</v>
      </c>
      <c r="F124" s="13"/>
      <c r="G124" s="13"/>
      <c r="H124" s="13">
        <f t="shared" si="45"/>
        <v>850000</v>
      </c>
    </row>
    <row r="125" spans="1:8" ht="15.75">
      <c r="A125" s="9"/>
      <c r="B125" s="10">
        <v>80106</v>
      </c>
      <c r="C125" s="11"/>
      <c r="D125" s="12" t="s">
        <v>66</v>
      </c>
      <c r="E125" s="13">
        <f>E126</f>
        <v>25000</v>
      </c>
      <c r="F125" s="13">
        <f t="shared" ref="F125:H130" si="46">F126</f>
        <v>0</v>
      </c>
      <c r="G125" s="13">
        <f t="shared" si="46"/>
        <v>0</v>
      </c>
      <c r="H125" s="13">
        <f t="shared" si="46"/>
        <v>25000</v>
      </c>
    </row>
    <row r="126" spans="1:8" ht="31.5" customHeight="1">
      <c r="A126" s="9"/>
      <c r="B126" s="10"/>
      <c r="C126" s="11">
        <v>2310</v>
      </c>
      <c r="D126" s="12" t="s">
        <v>61</v>
      </c>
      <c r="E126" s="13">
        <v>25000</v>
      </c>
      <c r="F126" s="13"/>
      <c r="G126" s="13"/>
      <c r="H126" s="13">
        <f>E126+F126-G126</f>
        <v>25000</v>
      </c>
    </row>
    <row r="127" spans="1:8" ht="31.5" customHeight="1">
      <c r="A127" s="70"/>
      <c r="B127" s="71">
        <v>80149</v>
      </c>
      <c r="C127" s="72"/>
      <c r="D127" s="73" t="s">
        <v>154</v>
      </c>
      <c r="E127" s="74">
        <f>SUM(E128:E129)</f>
        <v>7910</v>
      </c>
      <c r="F127" s="74">
        <f t="shared" ref="F127:G127" si="47">SUM(F128:F129)</f>
        <v>0</v>
      </c>
      <c r="G127" s="74">
        <f t="shared" si="47"/>
        <v>0</v>
      </c>
      <c r="H127" s="74">
        <f>SUM(H128:H129)</f>
        <v>7910</v>
      </c>
    </row>
    <row r="128" spans="1:8" ht="17.25" customHeight="1">
      <c r="A128" s="70"/>
      <c r="B128" s="71"/>
      <c r="C128" s="72">
        <v>920</v>
      </c>
      <c r="D128" s="73" t="s">
        <v>20</v>
      </c>
      <c r="E128" s="74">
        <f>808</f>
        <v>808</v>
      </c>
      <c r="F128" s="74"/>
      <c r="G128" s="74"/>
      <c r="H128" s="74">
        <f>E128+F128-G128</f>
        <v>808</v>
      </c>
    </row>
    <row r="129" spans="1:8" ht="31.5" customHeight="1">
      <c r="A129" s="70"/>
      <c r="B129" s="71"/>
      <c r="C129" s="72">
        <v>2910</v>
      </c>
      <c r="D129" s="73" t="s">
        <v>348</v>
      </c>
      <c r="E129" s="74">
        <f>7102</f>
        <v>7102</v>
      </c>
      <c r="F129" s="74"/>
      <c r="G129" s="74"/>
      <c r="H129" s="74">
        <f>E129+F129-G129</f>
        <v>7102</v>
      </c>
    </row>
    <row r="130" spans="1:8" ht="31.5">
      <c r="A130" s="9"/>
      <c r="B130" s="10">
        <v>80153</v>
      </c>
      <c r="C130" s="11"/>
      <c r="D130" s="12" t="s">
        <v>343</v>
      </c>
      <c r="E130" s="13">
        <f>E131</f>
        <v>627</v>
      </c>
      <c r="F130" s="13">
        <f t="shared" si="46"/>
        <v>0</v>
      </c>
      <c r="G130" s="13">
        <f t="shared" si="46"/>
        <v>0</v>
      </c>
      <c r="H130" s="13">
        <f t="shared" si="46"/>
        <v>627</v>
      </c>
    </row>
    <row r="131" spans="1:8" ht="15.75">
      <c r="A131" s="9"/>
      <c r="B131" s="10"/>
      <c r="C131" s="11">
        <v>2950</v>
      </c>
      <c r="D131" s="12" t="s">
        <v>344</v>
      </c>
      <c r="E131" s="13">
        <v>627</v>
      </c>
      <c r="F131" s="13"/>
      <c r="G131" s="13"/>
      <c r="H131" s="13">
        <f>E131+F131-G131</f>
        <v>627</v>
      </c>
    </row>
    <row r="132" spans="1:8" ht="15.75">
      <c r="A132" s="70"/>
      <c r="B132" s="71">
        <v>80195</v>
      </c>
      <c r="C132" s="72"/>
      <c r="D132" s="73" t="s">
        <v>8</v>
      </c>
      <c r="E132" s="74">
        <f>SUM(E133:E135)</f>
        <v>704710</v>
      </c>
      <c r="F132" s="74">
        <f t="shared" ref="F132:H132" si="48">SUM(F133:F135)</f>
        <v>208117</v>
      </c>
      <c r="G132" s="74">
        <f t="shared" si="48"/>
        <v>0</v>
      </c>
      <c r="H132" s="74">
        <f t="shared" si="48"/>
        <v>912827</v>
      </c>
    </row>
    <row r="133" spans="1:8" ht="29.25" customHeight="1">
      <c r="A133" s="70"/>
      <c r="B133" s="71"/>
      <c r="C133" s="72">
        <v>2100</v>
      </c>
      <c r="D133" s="73" t="s">
        <v>331</v>
      </c>
      <c r="E133" s="74">
        <f>357133+347577</f>
        <v>704710</v>
      </c>
      <c r="F133" s="74"/>
      <c r="G133" s="74"/>
      <c r="H133" s="74">
        <f>E133+F133-G133</f>
        <v>704710</v>
      </c>
    </row>
    <row r="134" spans="1:8" ht="60.75" customHeight="1">
      <c r="A134" s="70"/>
      <c r="B134" s="71"/>
      <c r="C134" s="72">
        <v>2057</v>
      </c>
      <c r="D134" s="73" t="s">
        <v>356</v>
      </c>
      <c r="E134" s="74"/>
      <c r="F134" s="74">
        <v>113717</v>
      </c>
      <c r="G134" s="74"/>
      <c r="H134" s="74">
        <f t="shared" ref="H134:H135" si="49">E134+F134-G134</f>
        <v>113717</v>
      </c>
    </row>
    <row r="135" spans="1:8" ht="60" customHeight="1">
      <c r="A135" s="70"/>
      <c r="B135" s="71"/>
      <c r="C135" s="138">
        <v>6257</v>
      </c>
      <c r="D135" s="191" t="s">
        <v>27</v>
      </c>
      <c r="E135" s="74"/>
      <c r="F135" s="74">
        <v>94400</v>
      </c>
      <c r="G135" s="74"/>
      <c r="H135" s="74">
        <f t="shared" si="49"/>
        <v>94400</v>
      </c>
    </row>
    <row r="136" spans="1:8" ht="15.75">
      <c r="A136" s="9">
        <v>851</v>
      </c>
      <c r="B136" s="10"/>
      <c r="C136" s="11"/>
      <c r="D136" s="12" t="s">
        <v>155</v>
      </c>
      <c r="E136" s="13">
        <f>E137</f>
        <v>188393</v>
      </c>
      <c r="F136" s="13">
        <f t="shared" ref="F136:H136" si="50">F137</f>
        <v>0</v>
      </c>
      <c r="G136" s="13">
        <f t="shared" si="50"/>
        <v>0</v>
      </c>
      <c r="H136" s="13">
        <f t="shared" si="50"/>
        <v>188393</v>
      </c>
    </row>
    <row r="137" spans="1:8" ht="15.75">
      <c r="A137" s="9"/>
      <c r="B137" s="10">
        <v>85149</v>
      </c>
      <c r="C137" s="11"/>
      <c r="D137" s="12" t="s">
        <v>213</v>
      </c>
      <c r="E137" s="13">
        <f>SUM(E138:E139)</f>
        <v>188393</v>
      </c>
      <c r="F137" s="13">
        <f t="shared" ref="F137:H137" si="51">SUM(F138:F139)</f>
        <v>0</v>
      </c>
      <c r="G137" s="13">
        <f t="shared" si="51"/>
        <v>0</v>
      </c>
      <c r="H137" s="13">
        <f t="shared" si="51"/>
        <v>188393</v>
      </c>
    </row>
    <row r="138" spans="1:8" ht="31.5" customHeight="1">
      <c r="A138" s="9"/>
      <c r="B138" s="10"/>
      <c r="C138" s="11">
        <v>2170</v>
      </c>
      <c r="D138" s="12" t="s">
        <v>345</v>
      </c>
      <c r="E138" s="13">
        <v>143352</v>
      </c>
      <c r="F138" s="13"/>
      <c r="G138" s="13"/>
      <c r="H138" s="13">
        <f>E138+F138-G138</f>
        <v>143352</v>
      </c>
    </row>
    <row r="139" spans="1:8" ht="28.5" customHeight="1">
      <c r="A139" s="9"/>
      <c r="B139" s="10"/>
      <c r="C139" s="72">
        <v>2910</v>
      </c>
      <c r="D139" s="73" t="s">
        <v>348</v>
      </c>
      <c r="E139" s="13">
        <v>45041</v>
      </c>
      <c r="F139" s="13"/>
      <c r="G139" s="13"/>
      <c r="H139" s="13">
        <f>E139+F139-G139</f>
        <v>45041</v>
      </c>
    </row>
    <row r="140" spans="1:8" ht="15.75">
      <c r="A140" s="9">
        <v>852</v>
      </c>
      <c r="B140" s="10"/>
      <c r="C140" s="11"/>
      <c r="D140" s="12" t="s">
        <v>67</v>
      </c>
      <c r="E140" s="13">
        <f>E141+E143+E145+E148+E152+E158+E160+E156+E150+E154</f>
        <v>827888.7699999999</v>
      </c>
      <c r="F140" s="13">
        <f>F141+F143+F145+F148+F152+F158+F160+F156+F150+F154</f>
        <v>36328</v>
      </c>
      <c r="G140" s="13">
        <f>G141+G143+G145+G148+G152+G158+G160+G156+G150+G154</f>
        <v>0</v>
      </c>
      <c r="H140" s="13">
        <f>H141+H143+H145+H148+H152+H158+H160+H156+H150+H154</f>
        <v>864216.7699999999</v>
      </c>
    </row>
    <row r="141" spans="1:8" ht="15.75">
      <c r="A141" s="9"/>
      <c r="B141" s="10">
        <v>85202</v>
      </c>
      <c r="C141" s="11"/>
      <c r="D141" s="12" t="s">
        <v>68</v>
      </c>
      <c r="E141" s="13">
        <f>SUM(E142:E142)</f>
        <v>25000</v>
      </c>
      <c r="F141" s="13">
        <f t="shared" ref="F141:H141" si="52">SUM(F142:F142)</f>
        <v>0</v>
      </c>
      <c r="G141" s="13">
        <f t="shared" si="52"/>
        <v>0</v>
      </c>
      <c r="H141" s="13">
        <f t="shared" si="52"/>
        <v>25000</v>
      </c>
    </row>
    <row r="142" spans="1:8" ht="15.75">
      <c r="A142" s="9"/>
      <c r="B142" s="10"/>
      <c r="C142" s="11">
        <v>830</v>
      </c>
      <c r="D142" s="12" t="s">
        <v>25</v>
      </c>
      <c r="E142" s="13">
        <v>25000</v>
      </c>
      <c r="F142" s="13"/>
      <c r="G142" s="13"/>
      <c r="H142" s="13">
        <f>E142+F142-G142</f>
        <v>25000</v>
      </c>
    </row>
    <row r="143" spans="1:8" ht="47.25">
      <c r="A143" s="9"/>
      <c r="B143" s="10">
        <v>85213</v>
      </c>
      <c r="C143" s="11"/>
      <c r="D143" s="12" t="s">
        <v>69</v>
      </c>
      <c r="E143" s="13">
        <f>E144</f>
        <v>11408</v>
      </c>
      <c r="F143" s="13">
        <f t="shared" ref="F143:H143" si="53">F144</f>
        <v>0</v>
      </c>
      <c r="G143" s="13">
        <f t="shared" si="53"/>
        <v>0</v>
      </c>
      <c r="H143" s="13">
        <f t="shared" si="53"/>
        <v>11408</v>
      </c>
    </row>
    <row r="144" spans="1:8" ht="27.75" customHeight="1">
      <c r="A144" s="9"/>
      <c r="B144" s="10"/>
      <c r="C144" s="11">
        <v>2030</v>
      </c>
      <c r="D144" s="12" t="s">
        <v>65</v>
      </c>
      <c r="E144" s="13">
        <v>11408</v>
      </c>
      <c r="F144" s="13"/>
      <c r="G144" s="13"/>
      <c r="H144" s="13">
        <f>E144+F144-G144</f>
        <v>11408</v>
      </c>
    </row>
    <row r="145" spans="1:8" ht="27" customHeight="1">
      <c r="A145" s="9"/>
      <c r="B145" s="10">
        <v>85214</v>
      </c>
      <c r="C145" s="11"/>
      <c r="D145" s="12" t="s">
        <v>70</v>
      </c>
      <c r="E145" s="13">
        <f>SUM(E146:E147)</f>
        <v>17332</v>
      </c>
      <c r="F145" s="13">
        <f t="shared" ref="F145:H145" si="54">SUM(F146:F147)</f>
        <v>0</v>
      </c>
      <c r="G145" s="13">
        <f t="shared" si="54"/>
        <v>0</v>
      </c>
      <c r="H145" s="13">
        <f t="shared" si="54"/>
        <v>17332</v>
      </c>
    </row>
    <row r="146" spans="1:8" ht="15.75">
      <c r="A146" s="9"/>
      <c r="B146" s="10"/>
      <c r="C146" s="72">
        <v>940</v>
      </c>
      <c r="D146" s="73" t="s">
        <v>351</v>
      </c>
      <c r="E146" s="13">
        <v>4957</v>
      </c>
      <c r="F146" s="13"/>
      <c r="G146" s="13"/>
      <c r="H146" s="13">
        <f>E146+F146-G146</f>
        <v>4957</v>
      </c>
    </row>
    <row r="147" spans="1:8" ht="29.25" customHeight="1">
      <c r="A147" s="9"/>
      <c r="B147" s="10"/>
      <c r="C147" s="11">
        <v>2030</v>
      </c>
      <c r="D147" s="12" t="s">
        <v>65</v>
      </c>
      <c r="E147" s="13">
        <v>12375</v>
      </c>
      <c r="F147" s="13"/>
      <c r="G147" s="13"/>
      <c r="H147" s="13">
        <f>E147+F147-G147</f>
        <v>12375</v>
      </c>
    </row>
    <row r="148" spans="1:8" ht="15.75">
      <c r="A148" s="9"/>
      <c r="B148" s="10">
        <v>85216</v>
      </c>
      <c r="C148" s="11"/>
      <c r="D148" s="12" t="s">
        <v>72</v>
      </c>
      <c r="E148" s="13">
        <f>E149</f>
        <v>97533</v>
      </c>
      <c r="F148" s="13">
        <f t="shared" ref="F148:H148" si="55">F149</f>
        <v>0</v>
      </c>
      <c r="G148" s="13">
        <f t="shared" si="55"/>
        <v>0</v>
      </c>
      <c r="H148" s="13">
        <f t="shared" si="55"/>
        <v>97533</v>
      </c>
    </row>
    <row r="149" spans="1:8" ht="29.25" customHeight="1">
      <c r="A149" s="9"/>
      <c r="B149" s="10"/>
      <c r="C149" s="11">
        <v>2030</v>
      </c>
      <c r="D149" s="12" t="s">
        <v>65</v>
      </c>
      <c r="E149" s="13">
        <v>97533</v>
      </c>
      <c r="F149" s="13"/>
      <c r="G149" s="13"/>
      <c r="H149" s="13">
        <f>E149+F149-G149</f>
        <v>97533</v>
      </c>
    </row>
    <row r="150" spans="1:8" ht="15.75">
      <c r="A150" s="9"/>
      <c r="B150" s="10">
        <v>85219</v>
      </c>
      <c r="C150" s="11"/>
      <c r="D150" s="12" t="s">
        <v>73</v>
      </c>
      <c r="E150" s="13">
        <f>SUM(E151)</f>
        <v>29956</v>
      </c>
      <c r="F150" s="13">
        <f t="shared" ref="F150:H150" si="56">SUM(F151)</f>
        <v>0</v>
      </c>
      <c r="G150" s="13">
        <f t="shared" si="56"/>
        <v>0</v>
      </c>
      <c r="H150" s="13">
        <f t="shared" si="56"/>
        <v>29956</v>
      </c>
    </row>
    <row r="151" spans="1:8" ht="28.5" customHeight="1">
      <c r="A151" s="9"/>
      <c r="B151" s="10"/>
      <c r="C151" s="11">
        <v>2030</v>
      </c>
      <c r="D151" s="12" t="s">
        <v>65</v>
      </c>
      <c r="E151" s="13">
        <v>29956</v>
      </c>
      <c r="F151" s="13"/>
      <c r="G151" s="13"/>
      <c r="H151" s="13">
        <f>E151+F151-G151</f>
        <v>29956</v>
      </c>
    </row>
    <row r="152" spans="1:8" ht="15.75">
      <c r="A152" s="9"/>
      <c r="B152" s="10">
        <v>85228</v>
      </c>
      <c r="C152" s="11"/>
      <c r="D152" s="12" t="s">
        <v>74</v>
      </c>
      <c r="E152" s="13">
        <f>SUM(E153)</f>
        <v>40000</v>
      </c>
      <c r="F152" s="13">
        <f t="shared" ref="F152:H152" si="57">SUM(F153)</f>
        <v>0</v>
      </c>
      <c r="G152" s="13">
        <f t="shared" si="57"/>
        <v>0</v>
      </c>
      <c r="H152" s="13">
        <f t="shared" si="57"/>
        <v>40000</v>
      </c>
    </row>
    <row r="153" spans="1:8" ht="15.75">
      <c r="A153" s="9"/>
      <c r="B153" s="10"/>
      <c r="C153" s="11">
        <v>830</v>
      </c>
      <c r="D153" s="12" t="s">
        <v>25</v>
      </c>
      <c r="E153" s="13">
        <v>40000</v>
      </c>
      <c r="F153" s="13"/>
      <c r="G153" s="13"/>
      <c r="H153" s="13">
        <f>E153+F153-G153</f>
        <v>40000</v>
      </c>
    </row>
    <row r="154" spans="1:8" ht="15.75">
      <c r="A154" s="9"/>
      <c r="B154" s="10">
        <v>85230</v>
      </c>
      <c r="C154" s="11"/>
      <c r="D154" s="12" t="s">
        <v>75</v>
      </c>
      <c r="E154" s="13">
        <f>E155</f>
        <v>35056.82</v>
      </c>
      <c r="F154" s="13">
        <f t="shared" ref="F154:H154" si="58">F155</f>
        <v>0</v>
      </c>
      <c r="G154" s="13">
        <f t="shared" si="58"/>
        <v>0</v>
      </c>
      <c r="H154" s="13">
        <f t="shared" si="58"/>
        <v>35056.82</v>
      </c>
    </row>
    <row r="155" spans="1:8" ht="31.5">
      <c r="A155" s="9"/>
      <c r="B155" s="10"/>
      <c r="C155" s="11">
        <v>2030</v>
      </c>
      <c r="D155" s="12" t="s">
        <v>65</v>
      </c>
      <c r="E155" s="13">
        <v>35056.82</v>
      </c>
      <c r="F155" s="13"/>
      <c r="G155" s="13"/>
      <c r="H155" s="13">
        <f>E155+F155-G155</f>
        <v>35056.82</v>
      </c>
    </row>
    <row r="156" spans="1:8" ht="15.75">
      <c r="A156" s="279"/>
      <c r="B156" s="280">
        <v>85231</v>
      </c>
      <c r="C156" s="281"/>
      <c r="D156" s="263" t="s">
        <v>332</v>
      </c>
      <c r="E156" s="264">
        <f>E157</f>
        <v>361457.26</v>
      </c>
      <c r="F156" s="264">
        <f t="shared" ref="F156:H156" si="59">F157</f>
        <v>36328</v>
      </c>
      <c r="G156" s="264">
        <f t="shared" si="59"/>
        <v>0</v>
      </c>
      <c r="H156" s="264">
        <f t="shared" si="59"/>
        <v>397785.26</v>
      </c>
    </row>
    <row r="157" spans="1:8" ht="31.5">
      <c r="A157" s="279"/>
      <c r="B157" s="280"/>
      <c r="C157" s="46">
        <v>2100</v>
      </c>
      <c r="D157" s="47" t="s">
        <v>331</v>
      </c>
      <c r="E157" s="75">
        <f>13000+46304+74596+159485.63+68071.63</f>
        <v>361457.26</v>
      </c>
      <c r="F157" s="75">
        <f>2000+3000+31328</f>
        <v>36328</v>
      </c>
      <c r="G157" s="75"/>
      <c r="H157" s="75">
        <f>E157+F157-G157</f>
        <v>397785.26</v>
      </c>
    </row>
    <row r="158" spans="1:8" ht="15.75">
      <c r="A158" s="9"/>
      <c r="B158" s="10">
        <v>85232</v>
      </c>
      <c r="C158" s="11"/>
      <c r="D158" s="12" t="s">
        <v>76</v>
      </c>
      <c r="E158" s="13">
        <f>E159</f>
        <v>140000</v>
      </c>
      <c r="F158" s="13">
        <f t="shared" ref="F158:H158" si="60">F159</f>
        <v>0</v>
      </c>
      <c r="G158" s="13">
        <f t="shared" si="60"/>
        <v>0</v>
      </c>
      <c r="H158" s="13">
        <f t="shared" si="60"/>
        <v>140000</v>
      </c>
    </row>
    <row r="159" spans="1:8" ht="15.75">
      <c r="A159" s="9"/>
      <c r="B159" s="10"/>
      <c r="C159" s="11">
        <v>830</v>
      </c>
      <c r="D159" s="12" t="s">
        <v>25</v>
      </c>
      <c r="E159" s="13">
        <v>140000</v>
      </c>
      <c r="F159" s="13"/>
      <c r="G159" s="13"/>
      <c r="H159" s="13">
        <f>E159+F159-G159</f>
        <v>140000</v>
      </c>
    </row>
    <row r="160" spans="1:8" ht="15.75">
      <c r="A160" s="9"/>
      <c r="B160" s="10">
        <v>85295</v>
      </c>
      <c r="C160" s="11"/>
      <c r="D160" s="12" t="s">
        <v>8</v>
      </c>
      <c r="E160" s="13">
        <f>E161</f>
        <v>70145.69</v>
      </c>
      <c r="F160" s="13">
        <f t="shared" ref="F160:H160" si="61">F161</f>
        <v>0</v>
      </c>
      <c r="G160" s="13">
        <f t="shared" si="61"/>
        <v>0</v>
      </c>
      <c r="H160" s="13">
        <f t="shared" si="61"/>
        <v>70145.69</v>
      </c>
    </row>
    <row r="161" spans="1:8" ht="47.25">
      <c r="A161" s="9"/>
      <c r="B161" s="10"/>
      <c r="C161" s="11">
        <v>2010</v>
      </c>
      <c r="D161" s="12" t="s">
        <v>9</v>
      </c>
      <c r="E161" s="13">
        <f>4392+65753.69</f>
        <v>70145.69</v>
      </c>
      <c r="F161" s="13"/>
      <c r="G161" s="13"/>
      <c r="H161" s="13">
        <f>E161+F161-G161</f>
        <v>70145.69</v>
      </c>
    </row>
    <row r="162" spans="1:8" ht="15.75">
      <c r="A162" s="9">
        <v>853</v>
      </c>
      <c r="B162" s="10"/>
      <c r="C162" s="11"/>
      <c r="D162" s="12" t="s">
        <v>77</v>
      </c>
      <c r="E162" s="13">
        <f>E163</f>
        <v>34142.019999999997</v>
      </c>
      <c r="F162" s="13">
        <f t="shared" ref="F162:H162" si="62">F163</f>
        <v>0</v>
      </c>
      <c r="G162" s="13">
        <f t="shared" si="62"/>
        <v>0</v>
      </c>
      <c r="H162" s="13">
        <f t="shared" si="62"/>
        <v>34142.019999999997</v>
      </c>
    </row>
    <row r="163" spans="1:8" ht="15.75">
      <c r="A163" s="9"/>
      <c r="B163" s="10">
        <v>85395</v>
      </c>
      <c r="C163" s="11"/>
      <c r="D163" s="12" t="s">
        <v>8</v>
      </c>
      <c r="E163" s="13">
        <f>SUM(E164)</f>
        <v>34142.019999999997</v>
      </c>
      <c r="F163" s="13">
        <f t="shared" ref="F163:H163" si="63">SUM(F164)</f>
        <v>0</v>
      </c>
      <c r="G163" s="13">
        <f t="shared" si="63"/>
        <v>0</v>
      </c>
      <c r="H163" s="13">
        <f t="shared" si="63"/>
        <v>34142.019999999997</v>
      </c>
    </row>
    <row r="164" spans="1:8" ht="31.5">
      <c r="A164" s="9"/>
      <c r="B164" s="10"/>
      <c r="C164" s="11">
        <v>2180</v>
      </c>
      <c r="D164" s="12" t="s">
        <v>339</v>
      </c>
      <c r="E164" s="13">
        <f>4468.99+29673.03</f>
        <v>34142.019999999997</v>
      </c>
      <c r="F164" s="13"/>
      <c r="G164" s="13"/>
      <c r="H164" s="13">
        <f>E164+F164-G164</f>
        <v>34142.019999999997</v>
      </c>
    </row>
    <row r="165" spans="1:8" ht="15.75">
      <c r="A165" s="9">
        <v>854</v>
      </c>
      <c r="B165" s="10"/>
      <c r="C165" s="11"/>
      <c r="D165" s="12" t="s">
        <v>78</v>
      </c>
      <c r="E165" s="13">
        <f>E166</f>
        <v>5491</v>
      </c>
      <c r="F165" s="13">
        <f t="shared" ref="F165:H165" si="64">F166</f>
        <v>0</v>
      </c>
      <c r="G165" s="13">
        <f t="shared" si="64"/>
        <v>0</v>
      </c>
      <c r="H165" s="13">
        <f t="shared" si="64"/>
        <v>5491</v>
      </c>
    </row>
    <row r="166" spans="1:8" ht="15.75">
      <c r="A166" s="9"/>
      <c r="B166" s="10">
        <v>85415</v>
      </c>
      <c r="C166" s="11"/>
      <c r="D166" s="12" t="s">
        <v>79</v>
      </c>
      <c r="E166" s="13">
        <f>E167</f>
        <v>5491</v>
      </c>
      <c r="F166" s="13">
        <f t="shared" ref="F166:H166" si="65">F167</f>
        <v>0</v>
      </c>
      <c r="G166" s="13">
        <f t="shared" si="65"/>
        <v>0</v>
      </c>
      <c r="H166" s="13">
        <f t="shared" si="65"/>
        <v>5491</v>
      </c>
    </row>
    <row r="167" spans="1:8" ht="31.5">
      <c r="A167" s="9"/>
      <c r="B167" s="10"/>
      <c r="C167" s="11">
        <v>2030</v>
      </c>
      <c r="D167" s="12" t="s">
        <v>65</v>
      </c>
      <c r="E167" s="13">
        <v>5491</v>
      </c>
      <c r="F167" s="13"/>
      <c r="G167" s="13"/>
      <c r="H167" s="13">
        <f>E167+F167-G167</f>
        <v>5491</v>
      </c>
    </row>
    <row r="168" spans="1:8" ht="15.75">
      <c r="A168" s="9">
        <v>855</v>
      </c>
      <c r="B168" s="10"/>
      <c r="C168" s="11"/>
      <c r="D168" s="12" t="s">
        <v>80</v>
      </c>
      <c r="E168" s="13">
        <f>E169+E174+E172</f>
        <v>5590301</v>
      </c>
      <c r="F168" s="13">
        <f t="shared" ref="F168:H168" si="66">F169+F174+F172</f>
        <v>0</v>
      </c>
      <c r="G168" s="13">
        <f t="shared" si="66"/>
        <v>0</v>
      </c>
      <c r="H168" s="13">
        <f t="shared" si="66"/>
        <v>5590301</v>
      </c>
    </row>
    <row r="169" spans="1:8" ht="30.75" customHeight="1">
      <c r="A169" s="9"/>
      <c r="B169" s="10">
        <v>85502</v>
      </c>
      <c r="C169" s="11"/>
      <c r="D169" s="12" t="s">
        <v>188</v>
      </c>
      <c r="E169" s="13">
        <f>SUM(E170:E171)</f>
        <v>5523702</v>
      </c>
      <c r="F169" s="13">
        <f t="shared" ref="F169:H169" si="67">SUM(F170:F171)</f>
        <v>0</v>
      </c>
      <c r="G169" s="13">
        <f t="shared" si="67"/>
        <v>0</v>
      </c>
      <c r="H169" s="13">
        <f t="shared" si="67"/>
        <v>5523702</v>
      </c>
    </row>
    <row r="170" spans="1:8" ht="47.25">
      <c r="A170" s="9"/>
      <c r="B170" s="10"/>
      <c r="C170" s="11">
        <v>2010</v>
      </c>
      <c r="D170" s="12" t="s">
        <v>9</v>
      </c>
      <c r="E170" s="13">
        <v>5516142</v>
      </c>
      <c r="F170" s="13"/>
      <c r="G170" s="13"/>
      <c r="H170" s="13">
        <f>E170+F170-G170</f>
        <v>5516142</v>
      </c>
    </row>
    <row r="171" spans="1:8" ht="31.5">
      <c r="A171" s="9"/>
      <c r="B171" s="10"/>
      <c r="C171" s="11">
        <v>2360</v>
      </c>
      <c r="D171" s="12" t="s">
        <v>355</v>
      </c>
      <c r="E171" s="13">
        <v>7560</v>
      </c>
      <c r="F171" s="13"/>
      <c r="G171" s="13"/>
      <c r="H171" s="13">
        <f>E171+F171-G171</f>
        <v>7560</v>
      </c>
    </row>
    <row r="172" spans="1:8" ht="15.75">
      <c r="A172" s="70"/>
      <c r="B172" s="10">
        <v>85503</v>
      </c>
      <c r="C172" s="11"/>
      <c r="D172" s="12" t="s">
        <v>354</v>
      </c>
      <c r="E172" s="13">
        <f>E173</f>
        <v>898</v>
      </c>
      <c r="F172" s="13">
        <f>F173</f>
        <v>0</v>
      </c>
      <c r="G172" s="13">
        <f>G173</f>
        <v>0</v>
      </c>
      <c r="H172" s="13">
        <f>H173</f>
        <v>898</v>
      </c>
    </row>
    <row r="173" spans="1:8" ht="49.5" customHeight="1">
      <c r="A173" s="70"/>
      <c r="B173" s="10"/>
      <c r="C173" s="11">
        <v>2010</v>
      </c>
      <c r="D173" s="12" t="s">
        <v>9</v>
      </c>
      <c r="E173" s="13">
        <v>898</v>
      </c>
      <c r="F173" s="13"/>
      <c r="G173" s="13"/>
      <c r="H173" s="13">
        <f>E173+F173-G173</f>
        <v>898</v>
      </c>
    </row>
    <row r="174" spans="1:8" ht="31.5" customHeight="1">
      <c r="A174" s="9"/>
      <c r="B174" s="10">
        <v>85513</v>
      </c>
      <c r="C174" s="11"/>
      <c r="D174" s="12" t="s">
        <v>82</v>
      </c>
      <c r="E174" s="13">
        <f>E175</f>
        <v>65701</v>
      </c>
      <c r="F174" s="13">
        <f t="shared" ref="F174:H174" si="68">F175</f>
        <v>0</v>
      </c>
      <c r="G174" s="13">
        <f t="shared" si="68"/>
        <v>0</v>
      </c>
      <c r="H174" s="13">
        <f t="shared" si="68"/>
        <v>65701</v>
      </c>
    </row>
    <row r="175" spans="1:8" ht="47.25">
      <c r="A175" s="9"/>
      <c r="B175" s="10"/>
      <c r="C175" s="11">
        <v>2010</v>
      </c>
      <c r="D175" s="12" t="s">
        <v>9</v>
      </c>
      <c r="E175" s="13">
        <v>65701</v>
      </c>
      <c r="F175" s="13"/>
      <c r="G175" s="13"/>
      <c r="H175" s="13">
        <f>E175+F175-G175</f>
        <v>65701</v>
      </c>
    </row>
    <row r="176" spans="1:8" ht="15.75">
      <c r="A176" s="9">
        <v>900</v>
      </c>
      <c r="B176" s="10"/>
      <c r="C176" s="11"/>
      <c r="D176" s="12" t="s">
        <v>84</v>
      </c>
      <c r="E176" s="13">
        <f>E177+E185+E180+E183</f>
        <v>481917</v>
      </c>
      <c r="F176" s="13">
        <f t="shared" ref="F176:H176" si="69">F177+F185+F180+F183</f>
        <v>1343680</v>
      </c>
      <c r="G176" s="13">
        <f t="shared" si="69"/>
        <v>0</v>
      </c>
      <c r="H176" s="13">
        <f t="shared" si="69"/>
        <v>1825597</v>
      </c>
    </row>
    <row r="177" spans="1:8" ht="15.75">
      <c r="A177" s="9"/>
      <c r="B177" s="10">
        <v>90001</v>
      </c>
      <c r="C177" s="11"/>
      <c r="D177" s="12" t="s">
        <v>85</v>
      </c>
      <c r="E177" s="13">
        <f>SUM(E178:E179)</f>
        <v>320046</v>
      </c>
      <c r="F177" s="13">
        <f t="shared" ref="F177:H177" si="70">SUM(F178:F179)</f>
        <v>0</v>
      </c>
      <c r="G177" s="13">
        <f t="shared" si="70"/>
        <v>0</v>
      </c>
      <c r="H177" s="13">
        <f t="shared" si="70"/>
        <v>320046</v>
      </c>
    </row>
    <row r="178" spans="1:8" ht="15.75">
      <c r="A178" s="9"/>
      <c r="B178" s="10"/>
      <c r="C178" s="11">
        <v>690</v>
      </c>
      <c r="D178" s="12" t="s">
        <v>19</v>
      </c>
      <c r="E178" s="13">
        <v>46</v>
      </c>
      <c r="F178" s="13"/>
      <c r="G178" s="13"/>
      <c r="H178" s="13">
        <f>E178+F178-G178</f>
        <v>46</v>
      </c>
    </row>
    <row r="179" spans="1:8" ht="47.25">
      <c r="A179" s="9"/>
      <c r="B179" s="10"/>
      <c r="C179" s="11">
        <v>750</v>
      </c>
      <c r="D179" s="12" t="s">
        <v>7</v>
      </c>
      <c r="E179" s="13">
        <v>320000</v>
      </c>
      <c r="F179" s="13"/>
      <c r="G179" s="13"/>
      <c r="H179" s="13">
        <f>E179+F179-G179</f>
        <v>320000</v>
      </c>
    </row>
    <row r="180" spans="1:8" ht="15.75">
      <c r="A180" s="70"/>
      <c r="B180" s="71">
        <v>90005</v>
      </c>
      <c r="C180" s="72"/>
      <c r="D180" s="73" t="s">
        <v>87</v>
      </c>
      <c r="E180" s="74">
        <f>SUM(E181:E182)</f>
        <v>101871</v>
      </c>
      <c r="F180" s="74">
        <f t="shared" ref="F180:H180" si="71">SUM(F181:F182)</f>
        <v>0</v>
      </c>
      <c r="G180" s="74">
        <f t="shared" si="71"/>
        <v>0</v>
      </c>
      <c r="H180" s="74">
        <f t="shared" si="71"/>
        <v>101871</v>
      </c>
    </row>
    <row r="181" spans="1:8" ht="63">
      <c r="A181" s="70"/>
      <c r="B181" s="71"/>
      <c r="C181" s="72">
        <v>2057</v>
      </c>
      <c r="D181" s="73" t="s">
        <v>356</v>
      </c>
      <c r="E181" s="74">
        <v>80217</v>
      </c>
      <c r="F181" s="74"/>
      <c r="G181" s="74"/>
      <c r="H181" s="74">
        <f>E181+F181-G181</f>
        <v>80217</v>
      </c>
    </row>
    <row r="182" spans="1:8" ht="47.25">
      <c r="A182" s="70"/>
      <c r="B182" s="71"/>
      <c r="C182" s="72">
        <v>2460</v>
      </c>
      <c r="D182" s="73" t="s">
        <v>357</v>
      </c>
      <c r="E182" s="74">
        <v>21654</v>
      </c>
      <c r="F182" s="74"/>
      <c r="G182" s="74"/>
      <c r="H182" s="74">
        <f>E182+F182-G182</f>
        <v>21654</v>
      </c>
    </row>
    <row r="183" spans="1:8" ht="15.75">
      <c r="A183" s="9"/>
      <c r="B183" s="10">
        <v>90015</v>
      </c>
      <c r="C183" s="11"/>
      <c r="D183" s="12" t="s">
        <v>172</v>
      </c>
      <c r="E183" s="13">
        <f>E184</f>
        <v>0</v>
      </c>
      <c r="F183" s="13">
        <f t="shared" ref="F183:H183" si="72">F184</f>
        <v>1343680</v>
      </c>
      <c r="G183" s="13">
        <f t="shared" si="72"/>
        <v>0</v>
      </c>
      <c r="H183" s="13">
        <f t="shared" si="72"/>
        <v>1343680</v>
      </c>
    </row>
    <row r="184" spans="1:8" ht="31.5">
      <c r="A184" s="9"/>
      <c r="B184" s="10"/>
      <c r="C184" s="11">
        <v>6370</v>
      </c>
      <c r="D184" s="12" t="s">
        <v>187</v>
      </c>
      <c r="E184" s="13"/>
      <c r="F184" s="13">
        <v>1343680</v>
      </c>
      <c r="G184" s="13"/>
      <c r="H184" s="13">
        <f>E184+F184-G184</f>
        <v>1343680</v>
      </c>
    </row>
    <row r="185" spans="1:8" ht="31.5">
      <c r="A185" s="9"/>
      <c r="B185" s="10">
        <v>90019</v>
      </c>
      <c r="C185" s="11"/>
      <c r="D185" s="12" t="s">
        <v>88</v>
      </c>
      <c r="E185" s="13">
        <f>SUM(E186)</f>
        <v>60000</v>
      </c>
      <c r="F185" s="13">
        <f t="shared" ref="F185:H185" si="73">SUM(F186)</f>
        <v>0</v>
      </c>
      <c r="G185" s="13">
        <f t="shared" si="73"/>
        <v>0</v>
      </c>
      <c r="H185" s="13">
        <f t="shared" si="73"/>
        <v>60000</v>
      </c>
    </row>
    <row r="186" spans="1:8" ht="15.75">
      <c r="A186" s="9"/>
      <c r="B186" s="10"/>
      <c r="C186" s="11">
        <v>690</v>
      </c>
      <c r="D186" s="12" t="s">
        <v>19</v>
      </c>
      <c r="E186" s="13">
        <v>60000</v>
      </c>
      <c r="F186" s="13"/>
      <c r="G186" s="13"/>
      <c r="H186" s="13">
        <f>E186+F186-G186</f>
        <v>60000</v>
      </c>
    </row>
    <row r="187" spans="1:8" ht="15.75">
      <c r="A187" s="9">
        <v>921</v>
      </c>
      <c r="B187" s="10"/>
      <c r="C187" s="11"/>
      <c r="D187" s="12" t="s">
        <v>175</v>
      </c>
      <c r="E187" s="13">
        <f>E192+E188+E190</f>
        <v>5075741</v>
      </c>
      <c r="F187" s="13">
        <f t="shared" ref="F187:H187" si="74">F192+F188+F190</f>
        <v>0</v>
      </c>
      <c r="G187" s="13">
        <f t="shared" si="74"/>
        <v>0</v>
      </c>
      <c r="H187" s="13">
        <f t="shared" si="74"/>
        <v>5075741</v>
      </c>
    </row>
    <row r="188" spans="1:8" ht="15.75">
      <c r="A188" s="9"/>
      <c r="B188" s="10">
        <v>92109</v>
      </c>
      <c r="C188" s="11"/>
      <c r="D188" s="12" t="s">
        <v>177</v>
      </c>
      <c r="E188" s="13">
        <f>E189</f>
        <v>1000000</v>
      </c>
      <c r="F188" s="13">
        <f t="shared" ref="F188:H188" si="75">F189</f>
        <v>0</v>
      </c>
      <c r="G188" s="13">
        <f t="shared" si="75"/>
        <v>0</v>
      </c>
      <c r="H188" s="13">
        <f t="shared" si="75"/>
        <v>1000000</v>
      </c>
    </row>
    <row r="189" spans="1:8" ht="31.5">
      <c r="A189" s="9"/>
      <c r="B189" s="10"/>
      <c r="C189" s="11">
        <v>6370</v>
      </c>
      <c r="D189" s="12" t="s">
        <v>187</v>
      </c>
      <c r="E189" s="13">
        <v>1000000</v>
      </c>
      <c r="F189" s="13"/>
      <c r="G189" s="13"/>
      <c r="H189" s="13">
        <f>E189+F189-G189</f>
        <v>1000000</v>
      </c>
    </row>
    <row r="190" spans="1:8" ht="15.75">
      <c r="A190" s="70"/>
      <c r="B190" s="71">
        <v>92116</v>
      </c>
      <c r="C190" s="72"/>
      <c r="D190" s="73" t="s">
        <v>179</v>
      </c>
      <c r="E190" s="74">
        <f>E191</f>
        <v>232941</v>
      </c>
      <c r="F190" s="74">
        <f>F191</f>
        <v>0</v>
      </c>
      <c r="G190" s="74">
        <f>G191</f>
        <v>0</v>
      </c>
      <c r="H190" s="74">
        <f>H191</f>
        <v>232941</v>
      </c>
    </row>
    <row r="191" spans="1:8" ht="47.25">
      <c r="A191" s="70"/>
      <c r="B191" s="71"/>
      <c r="C191" s="11">
        <v>2910</v>
      </c>
      <c r="D191" s="12" t="s">
        <v>348</v>
      </c>
      <c r="E191" s="74">
        <v>232941</v>
      </c>
      <c r="F191" s="74"/>
      <c r="G191" s="74"/>
      <c r="H191" s="74">
        <f>E191+F191-G191</f>
        <v>232941</v>
      </c>
    </row>
    <row r="192" spans="1:8" ht="15.75">
      <c r="A192" s="9"/>
      <c r="B192" s="10">
        <v>92120</v>
      </c>
      <c r="C192" s="11"/>
      <c r="D192" s="12" t="s">
        <v>180</v>
      </c>
      <c r="E192" s="13">
        <f>SUM(E193:E194)</f>
        <v>3842800</v>
      </c>
      <c r="F192" s="13">
        <f t="shared" ref="F192:H192" si="76">SUM(F193:F194)</f>
        <v>0</v>
      </c>
      <c r="G192" s="13">
        <f t="shared" si="76"/>
        <v>0</v>
      </c>
      <c r="H192" s="13">
        <f t="shared" si="76"/>
        <v>3842800</v>
      </c>
    </row>
    <row r="193" spans="1:8" ht="47.25">
      <c r="A193" s="9"/>
      <c r="B193" s="10"/>
      <c r="C193" s="11">
        <v>6090</v>
      </c>
      <c r="D193" s="12" t="s">
        <v>211</v>
      </c>
      <c r="E193" s="13">
        <f>352800+490000</f>
        <v>842800</v>
      </c>
      <c r="F193" s="13"/>
      <c r="G193" s="13"/>
      <c r="H193" s="13">
        <f>E193+F193-G193</f>
        <v>842800</v>
      </c>
    </row>
    <row r="194" spans="1:8" ht="31.5">
      <c r="A194" s="9"/>
      <c r="B194" s="10"/>
      <c r="C194" s="11">
        <v>6370</v>
      </c>
      <c r="D194" s="12" t="s">
        <v>187</v>
      </c>
      <c r="E194" s="13">
        <v>3000000</v>
      </c>
      <c r="F194" s="13"/>
      <c r="G194" s="13"/>
      <c r="H194" s="13">
        <f>E194+F194-G194</f>
        <v>3000000</v>
      </c>
    </row>
    <row r="195" spans="1:8" ht="15.75">
      <c r="A195" s="9">
        <v>926</v>
      </c>
      <c r="B195" s="10"/>
      <c r="C195" s="11"/>
      <c r="D195" s="12" t="s">
        <v>89</v>
      </c>
      <c r="E195" s="13">
        <f>E196+E199</f>
        <v>292029</v>
      </c>
      <c r="F195" s="13">
        <f>F196+F199</f>
        <v>0</v>
      </c>
      <c r="G195" s="13">
        <f>G196+G199</f>
        <v>0</v>
      </c>
      <c r="H195" s="13">
        <f>H196+H199</f>
        <v>292029</v>
      </c>
    </row>
    <row r="196" spans="1:8" ht="15.75">
      <c r="A196" s="9"/>
      <c r="B196" s="10">
        <v>92604</v>
      </c>
      <c r="C196" s="11"/>
      <c r="D196" s="12" t="s">
        <v>90</v>
      </c>
      <c r="E196" s="13">
        <f>SUM(E197:E198)</f>
        <v>272029</v>
      </c>
      <c r="F196" s="13">
        <f t="shared" ref="F196:H196" si="77">SUM(F197:F198)</f>
        <v>0</v>
      </c>
      <c r="G196" s="13">
        <f t="shared" si="77"/>
        <v>0</v>
      </c>
      <c r="H196" s="13">
        <f t="shared" si="77"/>
        <v>272029</v>
      </c>
    </row>
    <row r="197" spans="1:8" ht="15.75">
      <c r="A197" s="9"/>
      <c r="B197" s="10"/>
      <c r="C197" s="11">
        <v>830</v>
      </c>
      <c r="D197" s="12" t="s">
        <v>25</v>
      </c>
      <c r="E197" s="13">
        <v>270000</v>
      </c>
      <c r="F197" s="13"/>
      <c r="G197" s="13"/>
      <c r="H197" s="13">
        <f>E197+F197-G197</f>
        <v>270000</v>
      </c>
    </row>
    <row r="198" spans="1:8" ht="15.75">
      <c r="A198" s="9"/>
      <c r="B198" s="10"/>
      <c r="C198" s="11">
        <v>920</v>
      </c>
      <c r="D198" s="12" t="s">
        <v>20</v>
      </c>
      <c r="E198" s="13">
        <v>2029</v>
      </c>
      <c r="F198" s="13"/>
      <c r="G198" s="13"/>
      <c r="H198" s="13">
        <f>E198+F198-G198</f>
        <v>2029</v>
      </c>
    </row>
    <row r="199" spans="1:8" ht="15.75">
      <c r="A199" s="9"/>
      <c r="B199" s="10">
        <v>92695</v>
      </c>
      <c r="C199" s="11"/>
      <c r="D199" s="12" t="s">
        <v>8</v>
      </c>
      <c r="E199" s="13">
        <f>SUM(E200)</f>
        <v>20000</v>
      </c>
      <c r="F199" s="13">
        <f t="shared" ref="F199:H199" si="78">SUM(F200)</f>
        <v>0</v>
      </c>
      <c r="G199" s="13">
        <f t="shared" si="78"/>
        <v>0</v>
      </c>
      <c r="H199" s="13">
        <f t="shared" si="78"/>
        <v>20000</v>
      </c>
    </row>
    <row r="200" spans="1:8" ht="22.5" customHeight="1">
      <c r="A200" s="9"/>
      <c r="B200" s="10"/>
      <c r="C200" s="11">
        <v>2310</v>
      </c>
      <c r="D200" s="12" t="s">
        <v>61</v>
      </c>
      <c r="E200" s="13">
        <v>20000</v>
      </c>
      <c r="F200" s="13"/>
      <c r="G200" s="13"/>
      <c r="H200" s="13">
        <f>E200+F200-G200</f>
        <v>20000</v>
      </c>
    </row>
    <row r="201" spans="1:8" ht="15.75">
      <c r="A201" s="9"/>
      <c r="B201" s="10"/>
      <c r="C201" s="11"/>
      <c r="D201" s="12" t="s">
        <v>91</v>
      </c>
      <c r="E201" s="13">
        <f>E6+E11+E14+E18+E33+E50+E62+E69+E72+E101+E108+E140+E168+E176+E187+E195+E162+E136+E165</f>
        <v>271381733.11000001</v>
      </c>
      <c r="F201" s="13">
        <f>F6+F11+F14+F18+F33+F50+F62+F69+F72+F101+F108+F140+F168+F176+F187+F195+F162+F136+F165</f>
        <v>12675150</v>
      </c>
      <c r="G201" s="13">
        <f>G6+G11+G14+G18+G33+G50+G62+G69+G72+G101+G108+G140+G168+G176+G187+G195+G162+G136+G165</f>
        <v>850000</v>
      </c>
      <c r="H201" s="13">
        <f>H6+H11+H14+H18+H33+H50+H62+H69+H72+H101+H108+H140+H168+H176+H187+H195+H162+H136+H165</f>
        <v>283206883.10999995</v>
      </c>
    </row>
  </sheetData>
  <mergeCells count="1">
    <mergeCell ref="A1:H1"/>
  </mergeCells>
  <conditionalFormatting sqref="A6:H191 F192:H201 A192:E992">
    <cfRule type="expression" dxfId="271" priority="1" stopIfTrue="1">
      <formula>$D6 = "OGÓŁEM:"</formula>
    </cfRule>
    <cfRule type="expression" dxfId="270" priority="2" stopIfTrue="1">
      <formula>LEN($A6)&gt;1</formula>
    </cfRule>
    <cfRule type="expression" dxfId="269" priority="3" stopIfTrue="1">
      <formula>LEN($B6)&gt;1</formula>
    </cfRule>
  </conditionalFormatting>
  <pageMargins left="0.31496062992125984" right="0.31496062992125984" top="1.1417322834645669" bottom="0.55118110236220474" header="0.31496062992125984" footer="0.31496062992125984"/>
  <pageSetup paperSize="9" scale="58" fitToHeight="0" orientation="portrait" r:id="rId1"/>
  <headerFooter>
    <oddHeader xml:space="preserve">&amp;RZałącznik Nr 1
do Uchwały Nr II/..../2024 
Rady Gminy Komorniki z dnia 22 maja 2024r.    
w sprawie uchwały budżetowej na 2024r.
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2AFDB-11FD-4057-9F26-8F7B1EB436F6}">
  <dimension ref="A1:E36"/>
  <sheetViews>
    <sheetView workbookViewId="0">
      <selection activeCell="H29" sqref="H29"/>
    </sheetView>
  </sheetViews>
  <sheetFormatPr defaultRowHeight="15.75"/>
  <cols>
    <col min="1" max="3" width="9.140625" style="365"/>
    <col min="4" max="4" width="42.140625" style="365" customWidth="1"/>
    <col min="5" max="5" width="14.5703125" style="365" customWidth="1"/>
    <col min="6" max="16384" width="9.140625" style="365"/>
  </cols>
  <sheetData>
    <row r="1" spans="1:5">
      <c r="A1" s="364"/>
    </row>
    <row r="2" spans="1:5">
      <c r="A2" s="364"/>
    </row>
    <row r="3" spans="1:5">
      <c r="A3" s="366"/>
    </row>
    <row r="4" spans="1:5">
      <c r="A4" s="589" t="s">
        <v>378</v>
      </c>
      <c r="B4" s="590"/>
      <c r="C4" s="590"/>
      <c r="D4" s="590"/>
      <c r="E4" s="590"/>
    </row>
    <row r="5" spans="1:5">
      <c r="A5" s="589" t="s">
        <v>379</v>
      </c>
      <c r="B5" s="590"/>
      <c r="C5" s="590"/>
      <c r="D5" s="590"/>
      <c r="E5" s="590"/>
    </row>
    <row r="6" spans="1:5">
      <c r="A6" s="589" t="s">
        <v>380</v>
      </c>
      <c r="B6" s="590"/>
      <c r="C6" s="590"/>
      <c r="D6" s="590"/>
      <c r="E6" s="590"/>
    </row>
    <row r="7" spans="1:5">
      <c r="A7" s="368"/>
    </row>
    <row r="8" spans="1:5">
      <c r="A8" s="367"/>
    </row>
    <row r="9" spans="1:5">
      <c r="A9" s="591" t="s">
        <v>216</v>
      </c>
      <c r="B9" s="590"/>
    </row>
    <row r="10" spans="1:5" ht="16.5" thickBot="1">
      <c r="A10" s="368"/>
    </row>
    <row r="11" spans="1:5">
      <c r="A11" s="370"/>
      <c r="B11" s="371"/>
      <c r="C11" s="371"/>
      <c r="D11" s="371"/>
      <c r="E11" s="371"/>
    </row>
    <row r="12" spans="1:5">
      <c r="A12" s="372" t="s">
        <v>0</v>
      </c>
      <c r="B12" s="373" t="s">
        <v>1</v>
      </c>
      <c r="C12" s="373" t="s">
        <v>2</v>
      </c>
      <c r="D12" s="373" t="s">
        <v>381</v>
      </c>
      <c r="E12" s="373" t="s">
        <v>197</v>
      </c>
    </row>
    <row r="13" spans="1:5" ht="16.5" thickBot="1">
      <c r="A13" s="374"/>
      <c r="B13" s="375"/>
      <c r="C13" s="375"/>
      <c r="D13" s="375"/>
      <c r="E13" s="375"/>
    </row>
    <row r="14" spans="1:5" ht="16.5" thickBot="1">
      <c r="A14" s="376">
        <v>1</v>
      </c>
      <c r="B14" s="377">
        <v>2</v>
      </c>
      <c r="C14" s="377">
        <v>3</v>
      </c>
      <c r="D14" s="377">
        <v>4</v>
      </c>
      <c r="E14" s="377">
        <v>5</v>
      </c>
    </row>
    <row r="15" spans="1:5">
      <c r="A15" s="378"/>
      <c r="B15" s="379"/>
      <c r="C15" s="379"/>
      <c r="D15" s="380"/>
      <c r="E15" s="379" t="s">
        <v>382</v>
      </c>
    </row>
    <row r="16" spans="1:5">
      <c r="A16" s="378">
        <v>900</v>
      </c>
      <c r="B16" s="379">
        <v>90019</v>
      </c>
      <c r="C16" s="381" t="s">
        <v>383</v>
      </c>
      <c r="D16" s="380" t="s">
        <v>19</v>
      </c>
      <c r="E16" s="382">
        <v>60000</v>
      </c>
    </row>
    <row r="17" spans="1:5" ht="16.5" thickBot="1">
      <c r="A17" s="376"/>
      <c r="B17" s="375"/>
      <c r="C17" s="375"/>
      <c r="D17" s="375"/>
      <c r="E17" s="375"/>
    </row>
    <row r="18" spans="1:5">
      <c r="A18" s="366"/>
    </row>
    <row r="19" spans="1:5">
      <c r="A19" s="369"/>
    </row>
    <row r="20" spans="1:5">
      <c r="A20" s="591" t="s">
        <v>217</v>
      </c>
      <c r="B20" s="590"/>
    </row>
    <row r="21" spans="1:5" ht="16.5" thickBot="1">
      <c r="A21" s="368"/>
    </row>
    <row r="22" spans="1:5">
      <c r="A22" s="370"/>
      <c r="B22" s="371"/>
      <c r="C22" s="371"/>
      <c r="D22" s="371"/>
      <c r="E22" s="371"/>
    </row>
    <row r="23" spans="1:5">
      <c r="A23" s="372" t="s">
        <v>0</v>
      </c>
      <c r="B23" s="373" t="s">
        <v>1</v>
      </c>
      <c r="C23" s="373" t="s">
        <v>2</v>
      </c>
      <c r="D23" s="373" t="s">
        <v>381</v>
      </c>
      <c r="E23" s="373" t="s">
        <v>197</v>
      </c>
    </row>
    <row r="24" spans="1:5" ht="16.5" thickBot="1">
      <c r="A24" s="374"/>
      <c r="B24" s="375"/>
      <c r="C24" s="375"/>
      <c r="D24" s="375"/>
      <c r="E24" s="375"/>
    </row>
    <row r="25" spans="1:5" ht="16.5" thickBot="1">
      <c r="A25" s="376">
        <v>1</v>
      </c>
      <c r="B25" s="377">
        <v>2</v>
      </c>
      <c r="C25" s="377">
        <v>3</v>
      </c>
      <c r="D25" s="377">
        <v>4</v>
      </c>
      <c r="E25" s="377">
        <v>5</v>
      </c>
    </row>
    <row r="26" spans="1:5">
      <c r="A26" s="383" t="s">
        <v>384</v>
      </c>
      <c r="B26" s="379"/>
      <c r="C26" s="379"/>
      <c r="D26" s="380"/>
      <c r="E26" s="380" t="s">
        <v>385</v>
      </c>
    </row>
    <row r="27" spans="1:5">
      <c r="A27" s="378">
        <v>900</v>
      </c>
      <c r="B27" s="379">
        <v>90026</v>
      </c>
      <c r="C27" s="379">
        <v>2320</v>
      </c>
      <c r="D27" s="380" t="s">
        <v>386</v>
      </c>
      <c r="E27" s="382">
        <v>30000</v>
      </c>
    </row>
    <row r="28" spans="1:5">
      <c r="A28" s="378"/>
      <c r="B28" s="379"/>
      <c r="C28" s="379"/>
      <c r="D28" s="380" t="s">
        <v>387</v>
      </c>
      <c r="E28" s="379"/>
    </row>
    <row r="29" spans="1:5">
      <c r="A29" s="378"/>
      <c r="B29" s="379"/>
      <c r="C29" s="379"/>
      <c r="D29" s="380" t="s">
        <v>388</v>
      </c>
      <c r="E29" s="379"/>
    </row>
    <row r="30" spans="1:5">
      <c r="A30" s="378"/>
      <c r="B30" s="379"/>
      <c r="C30" s="379"/>
      <c r="D30" s="380"/>
      <c r="E30" s="379"/>
    </row>
    <row r="31" spans="1:5">
      <c r="A31" s="378">
        <v>900</v>
      </c>
      <c r="B31" s="379">
        <v>90004</v>
      </c>
      <c r="C31" s="379">
        <v>4300</v>
      </c>
      <c r="D31" s="380" t="s">
        <v>93</v>
      </c>
      <c r="E31" s="382">
        <v>30000</v>
      </c>
    </row>
    <row r="32" spans="1:5">
      <c r="A32" s="383"/>
      <c r="B32" s="384"/>
      <c r="C32" s="384"/>
      <c r="D32" s="384"/>
      <c r="E32" s="379"/>
    </row>
    <row r="33" spans="1:5" ht="16.5" thickBot="1">
      <c r="A33" s="374"/>
      <c r="B33" s="375"/>
      <c r="C33" s="375"/>
      <c r="D33" s="375"/>
      <c r="E33" s="377"/>
    </row>
    <row r="34" spans="1:5">
      <c r="A34" s="366"/>
    </row>
    <row r="35" spans="1:5">
      <c r="A35" s="366"/>
    </row>
    <row r="36" spans="1:5">
      <c r="A36" s="364"/>
    </row>
  </sheetData>
  <mergeCells count="5">
    <mergeCell ref="A4:E4"/>
    <mergeCell ref="A5:E5"/>
    <mergeCell ref="A6:E6"/>
    <mergeCell ref="A9:B9"/>
    <mergeCell ref="A20:B2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A6254-BDCD-4638-A926-B4DA0EF15DE6}">
  <dimension ref="A1:M36"/>
  <sheetViews>
    <sheetView workbookViewId="0">
      <selection activeCell="J32" sqref="J32"/>
    </sheetView>
  </sheetViews>
  <sheetFormatPr defaultRowHeight="12.75"/>
  <cols>
    <col min="1" max="1" width="7.28515625" style="448" customWidth="1"/>
    <col min="2" max="2" width="8.140625" style="448" customWidth="1"/>
    <col min="3" max="3" width="9.140625" style="448"/>
    <col min="4" max="4" width="11.5703125" style="448" customWidth="1"/>
    <col min="5" max="6" width="11.42578125" style="448" customWidth="1"/>
    <col min="7" max="9" width="11.140625" style="448" customWidth="1"/>
    <col min="10" max="11" width="11" style="448" customWidth="1"/>
    <col min="12" max="12" width="11.28515625" style="448" customWidth="1"/>
    <col min="13" max="256" width="9.140625" style="448"/>
    <col min="257" max="257" width="9.85546875" style="448" customWidth="1"/>
    <col min="258" max="258" width="9.7109375" style="448" customWidth="1"/>
    <col min="259" max="259" width="9.85546875" style="448" customWidth="1"/>
    <col min="260" max="260" width="12.140625" style="448" customWidth="1"/>
    <col min="261" max="262" width="12.28515625" style="448" customWidth="1"/>
    <col min="263" max="263" width="12.140625" style="448" customWidth="1"/>
    <col min="264" max="266" width="12.28515625" style="448" customWidth="1"/>
    <col min="267" max="267" width="12" style="448" customWidth="1"/>
    <col min="268" max="268" width="11.28515625" style="448" customWidth="1"/>
    <col min="269" max="512" width="9.140625" style="448"/>
    <col min="513" max="513" width="9.85546875" style="448" customWidth="1"/>
    <col min="514" max="514" width="9.7109375" style="448" customWidth="1"/>
    <col min="515" max="515" width="9.85546875" style="448" customWidth="1"/>
    <col min="516" max="516" width="12.140625" style="448" customWidth="1"/>
    <col min="517" max="518" width="12.28515625" style="448" customWidth="1"/>
    <col min="519" max="519" width="12.140625" style="448" customWidth="1"/>
    <col min="520" max="522" width="12.28515625" style="448" customWidth="1"/>
    <col min="523" max="523" width="12" style="448" customWidth="1"/>
    <col min="524" max="524" width="11.28515625" style="448" customWidth="1"/>
    <col min="525" max="768" width="9.140625" style="448"/>
    <col min="769" max="769" width="9.85546875" style="448" customWidth="1"/>
    <col min="770" max="770" width="9.7109375" style="448" customWidth="1"/>
    <col min="771" max="771" width="9.85546875" style="448" customWidth="1"/>
    <col min="772" max="772" width="12.140625" style="448" customWidth="1"/>
    <col min="773" max="774" width="12.28515625" style="448" customWidth="1"/>
    <col min="775" max="775" width="12.140625" style="448" customWidth="1"/>
    <col min="776" max="778" width="12.28515625" style="448" customWidth="1"/>
    <col min="779" max="779" width="12" style="448" customWidth="1"/>
    <col min="780" max="780" width="11.28515625" style="448" customWidth="1"/>
    <col min="781" max="1024" width="9.140625" style="448"/>
    <col min="1025" max="1025" width="9.85546875" style="448" customWidth="1"/>
    <col min="1026" max="1026" width="9.7109375" style="448" customWidth="1"/>
    <col min="1027" max="1027" width="9.85546875" style="448" customWidth="1"/>
    <col min="1028" max="1028" width="12.140625" style="448" customWidth="1"/>
    <col min="1029" max="1030" width="12.28515625" style="448" customWidth="1"/>
    <col min="1031" max="1031" width="12.140625" style="448" customWidth="1"/>
    <col min="1032" max="1034" width="12.28515625" style="448" customWidth="1"/>
    <col min="1035" max="1035" width="12" style="448" customWidth="1"/>
    <col min="1036" max="1036" width="11.28515625" style="448" customWidth="1"/>
    <col min="1037" max="1280" width="9.140625" style="448"/>
    <col min="1281" max="1281" width="9.85546875" style="448" customWidth="1"/>
    <col min="1282" max="1282" width="9.7109375" style="448" customWidth="1"/>
    <col min="1283" max="1283" width="9.85546875" style="448" customWidth="1"/>
    <col min="1284" max="1284" width="12.140625" style="448" customWidth="1"/>
    <col min="1285" max="1286" width="12.28515625" style="448" customWidth="1"/>
    <col min="1287" max="1287" width="12.140625" style="448" customWidth="1"/>
    <col min="1288" max="1290" width="12.28515625" style="448" customWidth="1"/>
    <col min="1291" max="1291" width="12" style="448" customWidth="1"/>
    <col min="1292" max="1292" width="11.28515625" style="448" customWidth="1"/>
    <col min="1293" max="1536" width="9.140625" style="448"/>
    <col min="1537" max="1537" width="9.85546875" style="448" customWidth="1"/>
    <col min="1538" max="1538" width="9.7109375" style="448" customWidth="1"/>
    <col min="1539" max="1539" width="9.85546875" style="448" customWidth="1"/>
    <col min="1540" max="1540" width="12.140625" style="448" customWidth="1"/>
    <col min="1541" max="1542" width="12.28515625" style="448" customWidth="1"/>
    <col min="1543" max="1543" width="12.140625" style="448" customWidth="1"/>
    <col min="1544" max="1546" width="12.28515625" style="448" customWidth="1"/>
    <col min="1547" max="1547" width="12" style="448" customWidth="1"/>
    <col min="1548" max="1548" width="11.28515625" style="448" customWidth="1"/>
    <col min="1549" max="1792" width="9.140625" style="448"/>
    <col min="1793" max="1793" width="9.85546875" style="448" customWidth="1"/>
    <col min="1794" max="1794" width="9.7109375" style="448" customWidth="1"/>
    <col min="1795" max="1795" width="9.85546875" style="448" customWidth="1"/>
    <col min="1796" max="1796" width="12.140625" style="448" customWidth="1"/>
    <col min="1797" max="1798" width="12.28515625" style="448" customWidth="1"/>
    <col min="1799" max="1799" width="12.140625" style="448" customWidth="1"/>
    <col min="1800" max="1802" width="12.28515625" style="448" customWidth="1"/>
    <col min="1803" max="1803" width="12" style="448" customWidth="1"/>
    <col min="1804" max="1804" width="11.28515625" style="448" customWidth="1"/>
    <col min="1805" max="2048" width="9.140625" style="448"/>
    <col min="2049" max="2049" width="9.85546875" style="448" customWidth="1"/>
    <col min="2050" max="2050" width="9.7109375" style="448" customWidth="1"/>
    <col min="2051" max="2051" width="9.85546875" style="448" customWidth="1"/>
    <col min="2052" max="2052" width="12.140625" style="448" customWidth="1"/>
    <col min="2053" max="2054" width="12.28515625" style="448" customWidth="1"/>
    <col min="2055" max="2055" width="12.140625" style="448" customWidth="1"/>
    <col min="2056" max="2058" width="12.28515625" style="448" customWidth="1"/>
    <col min="2059" max="2059" width="12" style="448" customWidth="1"/>
    <col min="2060" max="2060" width="11.28515625" style="448" customWidth="1"/>
    <col min="2061" max="2304" width="9.140625" style="448"/>
    <col min="2305" max="2305" width="9.85546875" style="448" customWidth="1"/>
    <col min="2306" max="2306" width="9.7109375" style="448" customWidth="1"/>
    <col min="2307" max="2307" width="9.85546875" style="448" customWidth="1"/>
    <col min="2308" max="2308" width="12.140625" style="448" customWidth="1"/>
    <col min="2309" max="2310" width="12.28515625" style="448" customWidth="1"/>
    <col min="2311" max="2311" width="12.140625" style="448" customWidth="1"/>
    <col min="2312" max="2314" width="12.28515625" style="448" customWidth="1"/>
    <col min="2315" max="2315" width="12" style="448" customWidth="1"/>
    <col min="2316" max="2316" width="11.28515625" style="448" customWidth="1"/>
    <col min="2317" max="2560" width="9.140625" style="448"/>
    <col min="2561" max="2561" width="9.85546875" style="448" customWidth="1"/>
    <col min="2562" max="2562" width="9.7109375" style="448" customWidth="1"/>
    <col min="2563" max="2563" width="9.85546875" style="448" customWidth="1"/>
    <col min="2564" max="2564" width="12.140625" style="448" customWidth="1"/>
    <col min="2565" max="2566" width="12.28515625" style="448" customWidth="1"/>
    <col min="2567" max="2567" width="12.140625" style="448" customWidth="1"/>
    <col min="2568" max="2570" width="12.28515625" style="448" customWidth="1"/>
    <col min="2571" max="2571" width="12" style="448" customWidth="1"/>
    <col min="2572" max="2572" width="11.28515625" style="448" customWidth="1"/>
    <col min="2573" max="2816" width="9.140625" style="448"/>
    <col min="2817" max="2817" width="9.85546875" style="448" customWidth="1"/>
    <col min="2818" max="2818" width="9.7109375" style="448" customWidth="1"/>
    <col min="2819" max="2819" width="9.85546875" style="448" customWidth="1"/>
    <col min="2820" max="2820" width="12.140625" style="448" customWidth="1"/>
    <col min="2821" max="2822" width="12.28515625" style="448" customWidth="1"/>
    <col min="2823" max="2823" width="12.140625" style="448" customWidth="1"/>
    <col min="2824" max="2826" width="12.28515625" style="448" customWidth="1"/>
    <col min="2827" max="2827" width="12" style="448" customWidth="1"/>
    <col min="2828" max="2828" width="11.28515625" style="448" customWidth="1"/>
    <col min="2829" max="3072" width="9.140625" style="448"/>
    <col min="3073" max="3073" width="9.85546875" style="448" customWidth="1"/>
    <col min="3074" max="3074" width="9.7109375" style="448" customWidth="1"/>
    <col min="3075" max="3075" width="9.85546875" style="448" customWidth="1"/>
    <col min="3076" max="3076" width="12.140625" style="448" customWidth="1"/>
    <col min="3077" max="3078" width="12.28515625" style="448" customWidth="1"/>
    <col min="3079" max="3079" width="12.140625" style="448" customWidth="1"/>
    <col min="3080" max="3082" width="12.28515625" style="448" customWidth="1"/>
    <col min="3083" max="3083" width="12" style="448" customWidth="1"/>
    <col min="3084" max="3084" width="11.28515625" style="448" customWidth="1"/>
    <col min="3085" max="3328" width="9.140625" style="448"/>
    <col min="3329" max="3329" width="9.85546875" style="448" customWidth="1"/>
    <col min="3330" max="3330" width="9.7109375" style="448" customWidth="1"/>
    <col min="3331" max="3331" width="9.85546875" style="448" customWidth="1"/>
    <col min="3332" max="3332" width="12.140625" style="448" customWidth="1"/>
    <col min="3333" max="3334" width="12.28515625" style="448" customWidth="1"/>
    <col min="3335" max="3335" width="12.140625" style="448" customWidth="1"/>
    <col min="3336" max="3338" width="12.28515625" style="448" customWidth="1"/>
    <col min="3339" max="3339" width="12" style="448" customWidth="1"/>
    <col min="3340" max="3340" width="11.28515625" style="448" customWidth="1"/>
    <col min="3341" max="3584" width="9.140625" style="448"/>
    <col min="3585" max="3585" width="9.85546875" style="448" customWidth="1"/>
    <col min="3586" max="3586" width="9.7109375" style="448" customWidth="1"/>
    <col min="3587" max="3587" width="9.85546875" style="448" customWidth="1"/>
    <col min="3588" max="3588" width="12.140625" style="448" customWidth="1"/>
    <col min="3589" max="3590" width="12.28515625" style="448" customWidth="1"/>
    <col min="3591" max="3591" width="12.140625" style="448" customWidth="1"/>
    <col min="3592" max="3594" width="12.28515625" style="448" customWidth="1"/>
    <col min="3595" max="3595" width="12" style="448" customWidth="1"/>
    <col min="3596" max="3596" width="11.28515625" style="448" customWidth="1"/>
    <col min="3597" max="3840" width="9.140625" style="448"/>
    <col min="3841" max="3841" width="9.85546875" style="448" customWidth="1"/>
    <col min="3842" max="3842" width="9.7109375" style="448" customWidth="1"/>
    <col min="3843" max="3843" width="9.85546875" style="448" customWidth="1"/>
    <col min="3844" max="3844" width="12.140625" style="448" customWidth="1"/>
    <col min="3845" max="3846" width="12.28515625" style="448" customWidth="1"/>
    <col min="3847" max="3847" width="12.140625" style="448" customWidth="1"/>
    <col min="3848" max="3850" width="12.28515625" style="448" customWidth="1"/>
    <col min="3851" max="3851" width="12" style="448" customWidth="1"/>
    <col min="3852" max="3852" width="11.28515625" style="448" customWidth="1"/>
    <col min="3853" max="4096" width="9.140625" style="448"/>
    <col min="4097" max="4097" width="9.85546875" style="448" customWidth="1"/>
    <col min="4098" max="4098" width="9.7109375" style="448" customWidth="1"/>
    <col min="4099" max="4099" width="9.85546875" style="448" customWidth="1"/>
    <col min="4100" max="4100" width="12.140625" style="448" customWidth="1"/>
    <col min="4101" max="4102" width="12.28515625" style="448" customWidth="1"/>
    <col min="4103" max="4103" width="12.140625" style="448" customWidth="1"/>
    <col min="4104" max="4106" width="12.28515625" style="448" customWidth="1"/>
    <col min="4107" max="4107" width="12" style="448" customWidth="1"/>
    <col min="4108" max="4108" width="11.28515625" style="448" customWidth="1"/>
    <col min="4109" max="4352" width="9.140625" style="448"/>
    <col min="4353" max="4353" width="9.85546875" style="448" customWidth="1"/>
    <col min="4354" max="4354" width="9.7109375" style="448" customWidth="1"/>
    <col min="4355" max="4355" width="9.85546875" style="448" customWidth="1"/>
    <col min="4356" max="4356" width="12.140625" style="448" customWidth="1"/>
    <col min="4357" max="4358" width="12.28515625" style="448" customWidth="1"/>
    <col min="4359" max="4359" width="12.140625" style="448" customWidth="1"/>
    <col min="4360" max="4362" width="12.28515625" style="448" customWidth="1"/>
    <col min="4363" max="4363" width="12" style="448" customWidth="1"/>
    <col min="4364" max="4364" width="11.28515625" style="448" customWidth="1"/>
    <col min="4365" max="4608" width="9.140625" style="448"/>
    <col min="4609" max="4609" width="9.85546875" style="448" customWidth="1"/>
    <col min="4610" max="4610" width="9.7109375" style="448" customWidth="1"/>
    <col min="4611" max="4611" width="9.85546875" style="448" customWidth="1"/>
    <col min="4612" max="4612" width="12.140625" style="448" customWidth="1"/>
    <col min="4613" max="4614" width="12.28515625" style="448" customWidth="1"/>
    <col min="4615" max="4615" width="12.140625" style="448" customWidth="1"/>
    <col min="4616" max="4618" width="12.28515625" style="448" customWidth="1"/>
    <col min="4619" max="4619" width="12" style="448" customWidth="1"/>
    <col min="4620" max="4620" width="11.28515625" style="448" customWidth="1"/>
    <col min="4621" max="4864" width="9.140625" style="448"/>
    <col min="4865" max="4865" width="9.85546875" style="448" customWidth="1"/>
    <col min="4866" max="4866" width="9.7109375" style="448" customWidth="1"/>
    <col min="4867" max="4867" width="9.85546875" style="448" customWidth="1"/>
    <col min="4868" max="4868" width="12.140625" style="448" customWidth="1"/>
    <col min="4869" max="4870" width="12.28515625" style="448" customWidth="1"/>
    <col min="4871" max="4871" width="12.140625" style="448" customWidth="1"/>
    <col min="4872" max="4874" width="12.28515625" style="448" customWidth="1"/>
    <col min="4875" max="4875" width="12" style="448" customWidth="1"/>
    <col min="4876" max="4876" width="11.28515625" style="448" customWidth="1"/>
    <col min="4877" max="5120" width="9.140625" style="448"/>
    <col min="5121" max="5121" width="9.85546875" style="448" customWidth="1"/>
    <col min="5122" max="5122" width="9.7109375" style="448" customWidth="1"/>
    <col min="5123" max="5123" width="9.85546875" style="448" customWidth="1"/>
    <col min="5124" max="5124" width="12.140625" style="448" customWidth="1"/>
    <col min="5125" max="5126" width="12.28515625" style="448" customWidth="1"/>
    <col min="5127" max="5127" width="12.140625" style="448" customWidth="1"/>
    <col min="5128" max="5130" width="12.28515625" style="448" customWidth="1"/>
    <col min="5131" max="5131" width="12" style="448" customWidth="1"/>
    <col min="5132" max="5132" width="11.28515625" style="448" customWidth="1"/>
    <col min="5133" max="5376" width="9.140625" style="448"/>
    <col min="5377" max="5377" width="9.85546875" style="448" customWidth="1"/>
    <col min="5378" max="5378" width="9.7109375" style="448" customWidth="1"/>
    <col min="5379" max="5379" width="9.85546875" style="448" customWidth="1"/>
    <col min="5380" max="5380" width="12.140625" style="448" customWidth="1"/>
    <col min="5381" max="5382" width="12.28515625" style="448" customWidth="1"/>
    <col min="5383" max="5383" width="12.140625" style="448" customWidth="1"/>
    <col min="5384" max="5386" width="12.28515625" style="448" customWidth="1"/>
    <col min="5387" max="5387" width="12" style="448" customWidth="1"/>
    <col min="5388" max="5388" width="11.28515625" style="448" customWidth="1"/>
    <col min="5389" max="5632" width="9.140625" style="448"/>
    <col min="5633" max="5633" width="9.85546875" style="448" customWidth="1"/>
    <col min="5634" max="5634" width="9.7109375" style="448" customWidth="1"/>
    <col min="5635" max="5635" width="9.85546875" style="448" customWidth="1"/>
    <col min="5636" max="5636" width="12.140625" style="448" customWidth="1"/>
    <col min="5637" max="5638" width="12.28515625" style="448" customWidth="1"/>
    <col min="5639" max="5639" width="12.140625" style="448" customWidth="1"/>
    <col min="5640" max="5642" width="12.28515625" style="448" customWidth="1"/>
    <col min="5643" max="5643" width="12" style="448" customWidth="1"/>
    <col min="5644" max="5644" width="11.28515625" style="448" customWidth="1"/>
    <col min="5645" max="5888" width="9.140625" style="448"/>
    <col min="5889" max="5889" width="9.85546875" style="448" customWidth="1"/>
    <col min="5890" max="5890" width="9.7109375" style="448" customWidth="1"/>
    <col min="5891" max="5891" width="9.85546875" style="448" customWidth="1"/>
    <col min="5892" max="5892" width="12.140625" style="448" customWidth="1"/>
    <col min="5893" max="5894" width="12.28515625" style="448" customWidth="1"/>
    <col min="5895" max="5895" width="12.140625" style="448" customWidth="1"/>
    <col min="5896" max="5898" width="12.28515625" style="448" customWidth="1"/>
    <col min="5899" max="5899" width="12" style="448" customWidth="1"/>
    <col min="5900" max="5900" width="11.28515625" style="448" customWidth="1"/>
    <col min="5901" max="6144" width="9.140625" style="448"/>
    <col min="6145" max="6145" width="9.85546875" style="448" customWidth="1"/>
    <col min="6146" max="6146" width="9.7109375" style="448" customWidth="1"/>
    <col min="6147" max="6147" width="9.85546875" style="448" customWidth="1"/>
    <col min="6148" max="6148" width="12.140625" style="448" customWidth="1"/>
    <col min="6149" max="6150" width="12.28515625" style="448" customWidth="1"/>
    <col min="6151" max="6151" width="12.140625" style="448" customWidth="1"/>
    <col min="6152" max="6154" width="12.28515625" style="448" customWidth="1"/>
    <col min="6155" max="6155" width="12" style="448" customWidth="1"/>
    <col min="6156" max="6156" width="11.28515625" style="448" customWidth="1"/>
    <col min="6157" max="6400" width="9.140625" style="448"/>
    <col min="6401" max="6401" width="9.85546875" style="448" customWidth="1"/>
    <col min="6402" max="6402" width="9.7109375" style="448" customWidth="1"/>
    <col min="6403" max="6403" width="9.85546875" style="448" customWidth="1"/>
    <col min="6404" max="6404" width="12.140625" style="448" customWidth="1"/>
    <col min="6405" max="6406" width="12.28515625" style="448" customWidth="1"/>
    <col min="6407" max="6407" width="12.140625" style="448" customWidth="1"/>
    <col min="6408" max="6410" width="12.28515625" style="448" customWidth="1"/>
    <col min="6411" max="6411" width="12" style="448" customWidth="1"/>
    <col min="6412" max="6412" width="11.28515625" style="448" customWidth="1"/>
    <col min="6413" max="6656" width="9.140625" style="448"/>
    <col min="6657" max="6657" width="9.85546875" style="448" customWidth="1"/>
    <col min="6658" max="6658" width="9.7109375" style="448" customWidth="1"/>
    <col min="6659" max="6659" width="9.85546875" style="448" customWidth="1"/>
    <col min="6660" max="6660" width="12.140625" style="448" customWidth="1"/>
    <col min="6661" max="6662" width="12.28515625" style="448" customWidth="1"/>
    <col min="6663" max="6663" width="12.140625" style="448" customWidth="1"/>
    <col min="6664" max="6666" width="12.28515625" style="448" customWidth="1"/>
    <col min="6667" max="6667" width="12" style="448" customWidth="1"/>
    <col min="6668" max="6668" width="11.28515625" style="448" customWidth="1"/>
    <col min="6669" max="6912" width="9.140625" style="448"/>
    <col min="6913" max="6913" width="9.85546875" style="448" customWidth="1"/>
    <col min="6914" max="6914" width="9.7109375" style="448" customWidth="1"/>
    <col min="6915" max="6915" width="9.85546875" style="448" customWidth="1"/>
    <col min="6916" max="6916" width="12.140625" style="448" customWidth="1"/>
    <col min="6917" max="6918" width="12.28515625" style="448" customWidth="1"/>
    <col min="6919" max="6919" width="12.140625" style="448" customWidth="1"/>
    <col min="6920" max="6922" width="12.28515625" style="448" customWidth="1"/>
    <col min="6923" max="6923" width="12" style="448" customWidth="1"/>
    <col min="6924" max="6924" width="11.28515625" style="448" customWidth="1"/>
    <col min="6925" max="7168" width="9.140625" style="448"/>
    <col min="7169" max="7169" width="9.85546875" style="448" customWidth="1"/>
    <col min="7170" max="7170" width="9.7109375" style="448" customWidth="1"/>
    <col min="7171" max="7171" width="9.85546875" style="448" customWidth="1"/>
    <col min="7172" max="7172" width="12.140625" style="448" customWidth="1"/>
    <col min="7173" max="7174" width="12.28515625" style="448" customWidth="1"/>
    <col min="7175" max="7175" width="12.140625" style="448" customWidth="1"/>
    <col min="7176" max="7178" width="12.28515625" style="448" customWidth="1"/>
    <col min="7179" max="7179" width="12" style="448" customWidth="1"/>
    <col min="7180" max="7180" width="11.28515625" style="448" customWidth="1"/>
    <col min="7181" max="7424" width="9.140625" style="448"/>
    <col min="7425" max="7425" width="9.85546875" style="448" customWidth="1"/>
    <col min="7426" max="7426" width="9.7109375" style="448" customWidth="1"/>
    <col min="7427" max="7427" width="9.85546875" style="448" customWidth="1"/>
    <col min="7428" max="7428" width="12.140625" style="448" customWidth="1"/>
    <col min="7429" max="7430" width="12.28515625" style="448" customWidth="1"/>
    <col min="7431" max="7431" width="12.140625" style="448" customWidth="1"/>
    <col min="7432" max="7434" width="12.28515625" style="448" customWidth="1"/>
    <col min="7435" max="7435" width="12" style="448" customWidth="1"/>
    <col min="7436" max="7436" width="11.28515625" style="448" customWidth="1"/>
    <col min="7437" max="7680" width="9.140625" style="448"/>
    <col min="7681" max="7681" width="9.85546875" style="448" customWidth="1"/>
    <col min="7682" max="7682" width="9.7109375" style="448" customWidth="1"/>
    <col min="7683" max="7683" width="9.85546875" style="448" customWidth="1"/>
    <col min="7684" max="7684" width="12.140625" style="448" customWidth="1"/>
    <col min="7685" max="7686" width="12.28515625" style="448" customWidth="1"/>
    <col min="7687" max="7687" width="12.140625" style="448" customWidth="1"/>
    <col min="7688" max="7690" width="12.28515625" style="448" customWidth="1"/>
    <col min="7691" max="7691" width="12" style="448" customWidth="1"/>
    <col min="7692" max="7692" width="11.28515625" style="448" customWidth="1"/>
    <col min="7693" max="7936" width="9.140625" style="448"/>
    <col min="7937" max="7937" width="9.85546875" style="448" customWidth="1"/>
    <col min="7938" max="7938" width="9.7109375" style="448" customWidth="1"/>
    <col min="7939" max="7939" width="9.85546875" style="448" customWidth="1"/>
    <col min="7940" max="7940" width="12.140625" style="448" customWidth="1"/>
    <col min="7941" max="7942" width="12.28515625" style="448" customWidth="1"/>
    <col min="7943" max="7943" width="12.140625" style="448" customWidth="1"/>
    <col min="7944" max="7946" width="12.28515625" style="448" customWidth="1"/>
    <col min="7947" max="7947" width="12" style="448" customWidth="1"/>
    <col min="7948" max="7948" width="11.28515625" style="448" customWidth="1"/>
    <col min="7949" max="8192" width="9.140625" style="448"/>
    <col min="8193" max="8193" width="9.85546875" style="448" customWidth="1"/>
    <col min="8194" max="8194" width="9.7109375" style="448" customWidth="1"/>
    <col min="8195" max="8195" width="9.85546875" style="448" customWidth="1"/>
    <col min="8196" max="8196" width="12.140625" style="448" customWidth="1"/>
    <col min="8197" max="8198" width="12.28515625" style="448" customWidth="1"/>
    <col min="8199" max="8199" width="12.140625" style="448" customWidth="1"/>
    <col min="8200" max="8202" width="12.28515625" style="448" customWidth="1"/>
    <col min="8203" max="8203" width="12" style="448" customWidth="1"/>
    <col min="8204" max="8204" width="11.28515625" style="448" customWidth="1"/>
    <col min="8205" max="8448" width="9.140625" style="448"/>
    <col min="8449" max="8449" width="9.85546875" style="448" customWidth="1"/>
    <col min="8450" max="8450" width="9.7109375" style="448" customWidth="1"/>
    <col min="8451" max="8451" width="9.85546875" style="448" customWidth="1"/>
    <col min="8452" max="8452" width="12.140625" style="448" customWidth="1"/>
    <col min="8453" max="8454" width="12.28515625" style="448" customWidth="1"/>
    <col min="8455" max="8455" width="12.140625" style="448" customWidth="1"/>
    <col min="8456" max="8458" width="12.28515625" style="448" customWidth="1"/>
    <col min="8459" max="8459" width="12" style="448" customWidth="1"/>
    <col min="8460" max="8460" width="11.28515625" style="448" customWidth="1"/>
    <col min="8461" max="8704" width="9.140625" style="448"/>
    <col min="8705" max="8705" width="9.85546875" style="448" customWidth="1"/>
    <col min="8706" max="8706" width="9.7109375" style="448" customWidth="1"/>
    <col min="8707" max="8707" width="9.85546875" style="448" customWidth="1"/>
    <col min="8708" max="8708" width="12.140625" style="448" customWidth="1"/>
    <col min="8709" max="8710" width="12.28515625" style="448" customWidth="1"/>
    <col min="8711" max="8711" width="12.140625" style="448" customWidth="1"/>
    <col min="8712" max="8714" width="12.28515625" style="448" customWidth="1"/>
    <col min="8715" max="8715" width="12" style="448" customWidth="1"/>
    <col min="8716" max="8716" width="11.28515625" style="448" customWidth="1"/>
    <col min="8717" max="8960" width="9.140625" style="448"/>
    <col min="8961" max="8961" width="9.85546875" style="448" customWidth="1"/>
    <col min="8962" max="8962" width="9.7109375" style="448" customWidth="1"/>
    <col min="8963" max="8963" width="9.85546875" style="448" customWidth="1"/>
    <col min="8964" max="8964" width="12.140625" style="448" customWidth="1"/>
    <col min="8965" max="8966" width="12.28515625" style="448" customWidth="1"/>
    <col min="8967" max="8967" width="12.140625" style="448" customWidth="1"/>
    <col min="8968" max="8970" width="12.28515625" style="448" customWidth="1"/>
    <col min="8971" max="8971" width="12" style="448" customWidth="1"/>
    <col min="8972" max="8972" width="11.28515625" style="448" customWidth="1"/>
    <col min="8973" max="9216" width="9.140625" style="448"/>
    <col min="9217" max="9217" width="9.85546875" style="448" customWidth="1"/>
    <col min="9218" max="9218" width="9.7109375" style="448" customWidth="1"/>
    <col min="9219" max="9219" width="9.85546875" style="448" customWidth="1"/>
    <col min="9220" max="9220" width="12.140625" style="448" customWidth="1"/>
    <col min="9221" max="9222" width="12.28515625" style="448" customWidth="1"/>
    <col min="9223" max="9223" width="12.140625" style="448" customWidth="1"/>
    <col min="9224" max="9226" width="12.28515625" style="448" customWidth="1"/>
    <col min="9227" max="9227" width="12" style="448" customWidth="1"/>
    <col min="9228" max="9228" width="11.28515625" style="448" customWidth="1"/>
    <col min="9229" max="9472" width="9.140625" style="448"/>
    <col min="9473" max="9473" width="9.85546875" style="448" customWidth="1"/>
    <col min="9474" max="9474" width="9.7109375" style="448" customWidth="1"/>
    <col min="9475" max="9475" width="9.85546875" style="448" customWidth="1"/>
    <col min="9476" max="9476" width="12.140625" style="448" customWidth="1"/>
    <col min="9477" max="9478" width="12.28515625" style="448" customWidth="1"/>
    <col min="9479" max="9479" width="12.140625" style="448" customWidth="1"/>
    <col min="9480" max="9482" width="12.28515625" style="448" customWidth="1"/>
    <col min="9483" max="9483" width="12" style="448" customWidth="1"/>
    <col min="9484" max="9484" width="11.28515625" style="448" customWidth="1"/>
    <col min="9485" max="9728" width="9.140625" style="448"/>
    <col min="9729" max="9729" width="9.85546875" style="448" customWidth="1"/>
    <col min="9730" max="9730" width="9.7109375" style="448" customWidth="1"/>
    <col min="9731" max="9731" width="9.85546875" style="448" customWidth="1"/>
    <col min="9732" max="9732" width="12.140625" style="448" customWidth="1"/>
    <col min="9733" max="9734" width="12.28515625" style="448" customWidth="1"/>
    <col min="9735" max="9735" width="12.140625" style="448" customWidth="1"/>
    <col min="9736" max="9738" width="12.28515625" style="448" customWidth="1"/>
    <col min="9739" max="9739" width="12" style="448" customWidth="1"/>
    <col min="9740" max="9740" width="11.28515625" style="448" customWidth="1"/>
    <col min="9741" max="9984" width="9.140625" style="448"/>
    <col min="9985" max="9985" width="9.85546875" style="448" customWidth="1"/>
    <col min="9986" max="9986" width="9.7109375" style="448" customWidth="1"/>
    <col min="9987" max="9987" width="9.85546875" style="448" customWidth="1"/>
    <col min="9988" max="9988" width="12.140625" style="448" customWidth="1"/>
    <col min="9989" max="9990" width="12.28515625" style="448" customWidth="1"/>
    <col min="9991" max="9991" width="12.140625" style="448" customWidth="1"/>
    <col min="9992" max="9994" width="12.28515625" style="448" customWidth="1"/>
    <col min="9995" max="9995" width="12" style="448" customWidth="1"/>
    <col min="9996" max="9996" width="11.28515625" style="448" customWidth="1"/>
    <col min="9997" max="10240" width="9.140625" style="448"/>
    <col min="10241" max="10241" width="9.85546875" style="448" customWidth="1"/>
    <col min="10242" max="10242" width="9.7109375" style="448" customWidth="1"/>
    <col min="10243" max="10243" width="9.85546875" style="448" customWidth="1"/>
    <col min="10244" max="10244" width="12.140625" style="448" customWidth="1"/>
    <col min="10245" max="10246" width="12.28515625" style="448" customWidth="1"/>
    <col min="10247" max="10247" width="12.140625" style="448" customWidth="1"/>
    <col min="10248" max="10250" width="12.28515625" style="448" customWidth="1"/>
    <col min="10251" max="10251" width="12" style="448" customWidth="1"/>
    <col min="10252" max="10252" width="11.28515625" style="448" customWidth="1"/>
    <col min="10253" max="10496" width="9.140625" style="448"/>
    <col min="10497" max="10497" width="9.85546875" style="448" customWidth="1"/>
    <col min="10498" max="10498" width="9.7109375" style="448" customWidth="1"/>
    <col min="10499" max="10499" width="9.85546875" style="448" customWidth="1"/>
    <col min="10500" max="10500" width="12.140625" style="448" customWidth="1"/>
    <col min="10501" max="10502" width="12.28515625" style="448" customWidth="1"/>
    <col min="10503" max="10503" width="12.140625" style="448" customWidth="1"/>
    <col min="10504" max="10506" width="12.28515625" style="448" customWidth="1"/>
    <col min="10507" max="10507" width="12" style="448" customWidth="1"/>
    <col min="10508" max="10508" width="11.28515625" style="448" customWidth="1"/>
    <col min="10509" max="10752" width="9.140625" style="448"/>
    <col min="10753" max="10753" width="9.85546875" style="448" customWidth="1"/>
    <col min="10754" max="10754" width="9.7109375" style="448" customWidth="1"/>
    <col min="10755" max="10755" width="9.85546875" style="448" customWidth="1"/>
    <col min="10756" max="10756" width="12.140625" style="448" customWidth="1"/>
    <col min="10757" max="10758" width="12.28515625" style="448" customWidth="1"/>
    <col min="10759" max="10759" width="12.140625" style="448" customWidth="1"/>
    <col min="10760" max="10762" width="12.28515625" style="448" customWidth="1"/>
    <col min="10763" max="10763" width="12" style="448" customWidth="1"/>
    <col min="10764" max="10764" width="11.28515625" style="448" customWidth="1"/>
    <col min="10765" max="11008" width="9.140625" style="448"/>
    <col min="11009" max="11009" width="9.85546875" style="448" customWidth="1"/>
    <col min="11010" max="11010" width="9.7109375" style="448" customWidth="1"/>
    <col min="11011" max="11011" width="9.85546875" style="448" customWidth="1"/>
    <col min="11012" max="11012" width="12.140625" style="448" customWidth="1"/>
    <col min="11013" max="11014" width="12.28515625" style="448" customWidth="1"/>
    <col min="11015" max="11015" width="12.140625" style="448" customWidth="1"/>
    <col min="11016" max="11018" width="12.28515625" style="448" customWidth="1"/>
    <col min="11019" max="11019" width="12" style="448" customWidth="1"/>
    <col min="11020" max="11020" width="11.28515625" style="448" customWidth="1"/>
    <col min="11021" max="11264" width="9.140625" style="448"/>
    <col min="11265" max="11265" width="9.85546875" style="448" customWidth="1"/>
    <col min="11266" max="11266" width="9.7109375" style="448" customWidth="1"/>
    <col min="11267" max="11267" width="9.85546875" style="448" customWidth="1"/>
    <col min="11268" max="11268" width="12.140625" style="448" customWidth="1"/>
    <col min="11269" max="11270" width="12.28515625" style="448" customWidth="1"/>
    <col min="11271" max="11271" width="12.140625" style="448" customWidth="1"/>
    <col min="11272" max="11274" width="12.28515625" style="448" customWidth="1"/>
    <col min="11275" max="11275" width="12" style="448" customWidth="1"/>
    <col min="11276" max="11276" width="11.28515625" style="448" customWidth="1"/>
    <col min="11277" max="11520" width="9.140625" style="448"/>
    <col min="11521" max="11521" width="9.85546875" style="448" customWidth="1"/>
    <col min="11522" max="11522" width="9.7109375" style="448" customWidth="1"/>
    <col min="11523" max="11523" width="9.85546875" style="448" customWidth="1"/>
    <col min="11524" max="11524" width="12.140625" style="448" customWidth="1"/>
    <col min="11525" max="11526" width="12.28515625" style="448" customWidth="1"/>
    <col min="11527" max="11527" width="12.140625" style="448" customWidth="1"/>
    <col min="11528" max="11530" width="12.28515625" style="448" customWidth="1"/>
    <col min="11531" max="11531" width="12" style="448" customWidth="1"/>
    <col min="11532" max="11532" width="11.28515625" style="448" customWidth="1"/>
    <col min="11533" max="11776" width="9.140625" style="448"/>
    <col min="11777" max="11777" width="9.85546875" style="448" customWidth="1"/>
    <col min="11778" max="11778" width="9.7109375" style="448" customWidth="1"/>
    <col min="11779" max="11779" width="9.85546875" style="448" customWidth="1"/>
    <col min="11780" max="11780" width="12.140625" style="448" customWidth="1"/>
    <col min="11781" max="11782" width="12.28515625" style="448" customWidth="1"/>
    <col min="11783" max="11783" width="12.140625" style="448" customWidth="1"/>
    <col min="11784" max="11786" width="12.28515625" style="448" customWidth="1"/>
    <col min="11787" max="11787" width="12" style="448" customWidth="1"/>
    <col min="11788" max="11788" width="11.28515625" style="448" customWidth="1"/>
    <col min="11789" max="12032" width="9.140625" style="448"/>
    <col min="12033" max="12033" width="9.85546875" style="448" customWidth="1"/>
    <col min="12034" max="12034" width="9.7109375" style="448" customWidth="1"/>
    <col min="12035" max="12035" width="9.85546875" style="448" customWidth="1"/>
    <col min="12036" max="12036" width="12.140625" style="448" customWidth="1"/>
    <col min="12037" max="12038" width="12.28515625" style="448" customWidth="1"/>
    <col min="12039" max="12039" width="12.140625" style="448" customWidth="1"/>
    <col min="12040" max="12042" width="12.28515625" style="448" customWidth="1"/>
    <col min="12043" max="12043" width="12" style="448" customWidth="1"/>
    <col min="12044" max="12044" width="11.28515625" style="448" customWidth="1"/>
    <col min="12045" max="12288" width="9.140625" style="448"/>
    <col min="12289" max="12289" width="9.85546875" style="448" customWidth="1"/>
    <col min="12290" max="12290" width="9.7109375" style="448" customWidth="1"/>
    <col min="12291" max="12291" width="9.85546875" style="448" customWidth="1"/>
    <col min="12292" max="12292" width="12.140625" style="448" customWidth="1"/>
    <col min="12293" max="12294" width="12.28515625" style="448" customWidth="1"/>
    <col min="12295" max="12295" width="12.140625" style="448" customWidth="1"/>
    <col min="12296" max="12298" width="12.28515625" style="448" customWidth="1"/>
    <col min="12299" max="12299" width="12" style="448" customWidth="1"/>
    <col min="12300" max="12300" width="11.28515625" style="448" customWidth="1"/>
    <col min="12301" max="12544" width="9.140625" style="448"/>
    <col min="12545" max="12545" width="9.85546875" style="448" customWidth="1"/>
    <col min="12546" max="12546" width="9.7109375" style="448" customWidth="1"/>
    <col min="12547" max="12547" width="9.85546875" style="448" customWidth="1"/>
    <col min="12548" max="12548" width="12.140625" style="448" customWidth="1"/>
    <col min="12549" max="12550" width="12.28515625" style="448" customWidth="1"/>
    <col min="12551" max="12551" width="12.140625" style="448" customWidth="1"/>
    <col min="12552" max="12554" width="12.28515625" style="448" customWidth="1"/>
    <col min="12555" max="12555" width="12" style="448" customWidth="1"/>
    <col min="12556" max="12556" width="11.28515625" style="448" customWidth="1"/>
    <col min="12557" max="12800" width="9.140625" style="448"/>
    <col min="12801" max="12801" width="9.85546875" style="448" customWidth="1"/>
    <col min="12802" max="12802" width="9.7109375" style="448" customWidth="1"/>
    <col min="12803" max="12803" width="9.85546875" style="448" customWidth="1"/>
    <col min="12804" max="12804" width="12.140625" style="448" customWidth="1"/>
    <col min="12805" max="12806" width="12.28515625" style="448" customWidth="1"/>
    <col min="12807" max="12807" width="12.140625" style="448" customWidth="1"/>
    <col min="12808" max="12810" width="12.28515625" style="448" customWidth="1"/>
    <col min="12811" max="12811" width="12" style="448" customWidth="1"/>
    <col min="12812" max="12812" width="11.28515625" style="448" customWidth="1"/>
    <col min="12813" max="13056" width="9.140625" style="448"/>
    <col min="13057" max="13057" width="9.85546875" style="448" customWidth="1"/>
    <col min="13058" max="13058" width="9.7109375" style="448" customWidth="1"/>
    <col min="13059" max="13059" width="9.85546875" style="448" customWidth="1"/>
    <col min="13060" max="13060" width="12.140625" style="448" customWidth="1"/>
    <col min="13061" max="13062" width="12.28515625" style="448" customWidth="1"/>
    <col min="13063" max="13063" width="12.140625" style="448" customWidth="1"/>
    <col min="13064" max="13066" width="12.28515625" style="448" customWidth="1"/>
    <col min="13067" max="13067" width="12" style="448" customWidth="1"/>
    <col min="13068" max="13068" width="11.28515625" style="448" customWidth="1"/>
    <col min="13069" max="13312" width="9.140625" style="448"/>
    <col min="13313" max="13313" width="9.85546875" style="448" customWidth="1"/>
    <col min="13314" max="13314" width="9.7109375" style="448" customWidth="1"/>
    <col min="13315" max="13315" width="9.85546875" style="448" customWidth="1"/>
    <col min="13316" max="13316" width="12.140625" style="448" customWidth="1"/>
    <col min="13317" max="13318" width="12.28515625" style="448" customWidth="1"/>
    <col min="13319" max="13319" width="12.140625" style="448" customWidth="1"/>
    <col min="13320" max="13322" width="12.28515625" style="448" customWidth="1"/>
    <col min="13323" max="13323" width="12" style="448" customWidth="1"/>
    <col min="13324" max="13324" width="11.28515625" style="448" customWidth="1"/>
    <col min="13325" max="13568" width="9.140625" style="448"/>
    <col min="13569" max="13569" width="9.85546875" style="448" customWidth="1"/>
    <col min="13570" max="13570" width="9.7109375" style="448" customWidth="1"/>
    <col min="13571" max="13571" width="9.85546875" style="448" customWidth="1"/>
    <col min="13572" max="13572" width="12.140625" style="448" customWidth="1"/>
    <col min="13573" max="13574" width="12.28515625" style="448" customWidth="1"/>
    <col min="13575" max="13575" width="12.140625" style="448" customWidth="1"/>
    <col min="13576" max="13578" width="12.28515625" style="448" customWidth="1"/>
    <col min="13579" max="13579" width="12" style="448" customWidth="1"/>
    <col min="13580" max="13580" width="11.28515625" style="448" customWidth="1"/>
    <col min="13581" max="13824" width="9.140625" style="448"/>
    <col min="13825" max="13825" width="9.85546875" style="448" customWidth="1"/>
    <col min="13826" max="13826" width="9.7109375" style="448" customWidth="1"/>
    <col min="13827" max="13827" width="9.85546875" style="448" customWidth="1"/>
    <col min="13828" max="13828" width="12.140625" style="448" customWidth="1"/>
    <col min="13829" max="13830" width="12.28515625" style="448" customWidth="1"/>
    <col min="13831" max="13831" width="12.140625" style="448" customWidth="1"/>
    <col min="13832" max="13834" width="12.28515625" style="448" customWidth="1"/>
    <col min="13835" max="13835" width="12" style="448" customWidth="1"/>
    <col min="13836" max="13836" width="11.28515625" style="448" customWidth="1"/>
    <col min="13837" max="14080" width="9.140625" style="448"/>
    <col min="14081" max="14081" width="9.85546875" style="448" customWidth="1"/>
    <col min="14082" max="14082" width="9.7109375" style="448" customWidth="1"/>
    <col min="14083" max="14083" width="9.85546875" style="448" customWidth="1"/>
    <col min="14084" max="14084" width="12.140625" style="448" customWidth="1"/>
    <col min="14085" max="14086" width="12.28515625" style="448" customWidth="1"/>
    <col min="14087" max="14087" width="12.140625" style="448" customWidth="1"/>
    <col min="14088" max="14090" width="12.28515625" style="448" customWidth="1"/>
    <col min="14091" max="14091" width="12" style="448" customWidth="1"/>
    <col min="14092" max="14092" width="11.28515625" style="448" customWidth="1"/>
    <col min="14093" max="14336" width="9.140625" style="448"/>
    <col min="14337" max="14337" width="9.85546875" style="448" customWidth="1"/>
    <col min="14338" max="14338" width="9.7109375" style="448" customWidth="1"/>
    <col min="14339" max="14339" width="9.85546875" style="448" customWidth="1"/>
    <col min="14340" max="14340" width="12.140625" style="448" customWidth="1"/>
    <col min="14341" max="14342" width="12.28515625" style="448" customWidth="1"/>
    <col min="14343" max="14343" width="12.140625" style="448" customWidth="1"/>
    <col min="14344" max="14346" width="12.28515625" style="448" customWidth="1"/>
    <col min="14347" max="14347" width="12" style="448" customWidth="1"/>
    <col min="14348" max="14348" width="11.28515625" style="448" customWidth="1"/>
    <col min="14349" max="14592" width="9.140625" style="448"/>
    <col min="14593" max="14593" width="9.85546875" style="448" customWidth="1"/>
    <col min="14594" max="14594" width="9.7109375" style="448" customWidth="1"/>
    <col min="14595" max="14595" width="9.85546875" style="448" customWidth="1"/>
    <col min="14596" max="14596" width="12.140625" style="448" customWidth="1"/>
    <col min="14597" max="14598" width="12.28515625" style="448" customWidth="1"/>
    <col min="14599" max="14599" width="12.140625" style="448" customWidth="1"/>
    <col min="14600" max="14602" width="12.28515625" style="448" customWidth="1"/>
    <col min="14603" max="14603" width="12" style="448" customWidth="1"/>
    <col min="14604" max="14604" width="11.28515625" style="448" customWidth="1"/>
    <col min="14605" max="14848" width="9.140625" style="448"/>
    <col min="14849" max="14849" width="9.85546875" style="448" customWidth="1"/>
    <col min="14850" max="14850" width="9.7109375" style="448" customWidth="1"/>
    <col min="14851" max="14851" width="9.85546875" style="448" customWidth="1"/>
    <col min="14852" max="14852" width="12.140625" style="448" customWidth="1"/>
    <col min="14853" max="14854" width="12.28515625" style="448" customWidth="1"/>
    <col min="14855" max="14855" width="12.140625" style="448" customWidth="1"/>
    <col min="14856" max="14858" width="12.28515625" style="448" customWidth="1"/>
    <col min="14859" max="14859" width="12" style="448" customWidth="1"/>
    <col min="14860" max="14860" width="11.28515625" style="448" customWidth="1"/>
    <col min="14861" max="15104" width="9.140625" style="448"/>
    <col min="15105" max="15105" width="9.85546875" style="448" customWidth="1"/>
    <col min="15106" max="15106" width="9.7109375" style="448" customWidth="1"/>
    <col min="15107" max="15107" width="9.85546875" style="448" customWidth="1"/>
    <col min="15108" max="15108" width="12.140625" style="448" customWidth="1"/>
    <col min="15109" max="15110" width="12.28515625" style="448" customWidth="1"/>
    <col min="15111" max="15111" width="12.140625" style="448" customWidth="1"/>
    <col min="15112" max="15114" width="12.28515625" style="448" customWidth="1"/>
    <col min="15115" max="15115" width="12" style="448" customWidth="1"/>
    <col min="15116" max="15116" width="11.28515625" style="448" customWidth="1"/>
    <col min="15117" max="15360" width="9.140625" style="448"/>
    <col min="15361" max="15361" width="9.85546875" style="448" customWidth="1"/>
    <col min="15362" max="15362" width="9.7109375" style="448" customWidth="1"/>
    <col min="15363" max="15363" width="9.85546875" style="448" customWidth="1"/>
    <col min="15364" max="15364" width="12.140625" style="448" customWidth="1"/>
    <col min="15365" max="15366" width="12.28515625" style="448" customWidth="1"/>
    <col min="15367" max="15367" width="12.140625" style="448" customWidth="1"/>
    <col min="15368" max="15370" width="12.28515625" style="448" customWidth="1"/>
    <col min="15371" max="15371" width="12" style="448" customWidth="1"/>
    <col min="15372" max="15372" width="11.28515625" style="448" customWidth="1"/>
    <col min="15373" max="15616" width="9.140625" style="448"/>
    <col min="15617" max="15617" width="9.85546875" style="448" customWidth="1"/>
    <col min="15618" max="15618" width="9.7109375" style="448" customWidth="1"/>
    <col min="15619" max="15619" width="9.85546875" style="448" customWidth="1"/>
    <col min="15620" max="15620" width="12.140625" style="448" customWidth="1"/>
    <col min="15621" max="15622" width="12.28515625" style="448" customWidth="1"/>
    <col min="15623" max="15623" width="12.140625" style="448" customWidth="1"/>
    <col min="15624" max="15626" width="12.28515625" style="448" customWidth="1"/>
    <col min="15627" max="15627" width="12" style="448" customWidth="1"/>
    <col min="15628" max="15628" width="11.28515625" style="448" customWidth="1"/>
    <col min="15629" max="15872" width="9.140625" style="448"/>
    <col min="15873" max="15873" width="9.85546875" style="448" customWidth="1"/>
    <col min="15874" max="15874" width="9.7109375" style="448" customWidth="1"/>
    <col min="15875" max="15875" width="9.85546875" style="448" customWidth="1"/>
    <col min="15876" max="15876" width="12.140625" style="448" customWidth="1"/>
    <col min="15877" max="15878" width="12.28515625" style="448" customWidth="1"/>
    <col min="15879" max="15879" width="12.140625" style="448" customWidth="1"/>
    <col min="15880" max="15882" width="12.28515625" style="448" customWidth="1"/>
    <col min="15883" max="15883" width="12" style="448" customWidth="1"/>
    <col min="15884" max="15884" width="11.28515625" style="448" customWidth="1"/>
    <col min="15885" max="16128" width="9.140625" style="448"/>
    <col min="16129" max="16129" width="9.85546875" style="448" customWidth="1"/>
    <col min="16130" max="16130" width="9.7109375" style="448" customWidth="1"/>
    <col min="16131" max="16131" width="9.85546875" style="448" customWidth="1"/>
    <col min="16132" max="16132" width="12.140625" style="448" customWidth="1"/>
    <col min="16133" max="16134" width="12.28515625" style="448" customWidth="1"/>
    <col min="16135" max="16135" width="12.140625" style="448" customWidth="1"/>
    <col min="16136" max="16138" width="12.28515625" style="448" customWidth="1"/>
    <col min="16139" max="16139" width="12" style="448" customWidth="1"/>
    <col min="16140" max="16140" width="11.28515625" style="448" customWidth="1"/>
    <col min="16141" max="16384" width="9.140625" style="448"/>
  </cols>
  <sheetData>
    <row r="1" spans="1:13" ht="15.75">
      <c r="I1" s="449"/>
    </row>
    <row r="2" spans="1:13" ht="15">
      <c r="I2" s="349"/>
      <c r="J2" s="85"/>
      <c r="K2" s="85"/>
      <c r="L2" s="450"/>
    </row>
    <row r="3" spans="1:13" ht="15">
      <c r="I3" s="349"/>
      <c r="J3" s="85"/>
      <c r="K3" s="85"/>
      <c r="L3" s="450"/>
    </row>
    <row r="4" spans="1:13" ht="15">
      <c r="I4" s="580"/>
      <c r="J4" s="567"/>
      <c r="K4" s="567"/>
      <c r="L4" s="450"/>
    </row>
    <row r="5" spans="1:13" ht="15">
      <c r="I5" s="349"/>
      <c r="J5" s="85"/>
      <c r="K5" s="85"/>
      <c r="L5" s="450"/>
    </row>
    <row r="6" spans="1:13" ht="18" thickBot="1">
      <c r="E6" s="451" t="s">
        <v>411</v>
      </c>
      <c r="F6" s="451"/>
      <c r="G6" s="451"/>
      <c r="H6" s="451"/>
      <c r="L6" s="450"/>
    </row>
    <row r="7" spans="1:13" ht="13.5" hidden="1" thickBot="1">
      <c r="L7" s="450"/>
    </row>
    <row r="8" spans="1:13" ht="15.75">
      <c r="A8" s="596" t="s">
        <v>412</v>
      </c>
      <c r="B8" s="597"/>
      <c r="C8" s="598"/>
      <c r="D8" s="599" t="s">
        <v>413</v>
      </c>
      <c r="E8" s="599" t="s">
        <v>414</v>
      </c>
      <c r="F8" s="599" t="s">
        <v>415</v>
      </c>
      <c r="G8" s="599" t="s">
        <v>416</v>
      </c>
      <c r="H8" s="599" t="s">
        <v>417</v>
      </c>
      <c r="I8" s="599" t="s">
        <v>418</v>
      </c>
      <c r="J8" s="599" t="s">
        <v>419</v>
      </c>
      <c r="K8" s="599" t="s">
        <v>420</v>
      </c>
      <c r="L8" s="450"/>
    </row>
    <row r="9" spans="1:13" ht="16.5" thickBot="1">
      <c r="A9" s="452" t="s">
        <v>0</v>
      </c>
      <c r="B9" s="453" t="s">
        <v>1</v>
      </c>
      <c r="C9" s="454" t="s">
        <v>373</v>
      </c>
      <c r="D9" s="600"/>
      <c r="E9" s="600"/>
      <c r="F9" s="600"/>
      <c r="G9" s="600"/>
      <c r="H9" s="600"/>
      <c r="I9" s="600"/>
      <c r="J9" s="600"/>
      <c r="K9" s="600"/>
      <c r="L9" s="450"/>
      <c r="M9" s="455"/>
    </row>
    <row r="10" spans="1:13" hidden="1">
      <c r="A10" s="456"/>
      <c r="B10" s="457"/>
      <c r="C10" s="458"/>
      <c r="D10" s="459"/>
      <c r="E10" s="459"/>
      <c r="F10" s="459"/>
      <c r="G10" s="459"/>
      <c r="H10" s="459"/>
      <c r="I10" s="459"/>
      <c r="J10" s="459"/>
      <c r="K10" s="459"/>
      <c r="L10" s="450"/>
    </row>
    <row r="11" spans="1:13" ht="15.75">
      <c r="A11" s="460"/>
      <c r="B11" s="461"/>
      <c r="C11" s="462"/>
      <c r="D11" s="463"/>
      <c r="E11" s="463"/>
      <c r="F11" s="463"/>
      <c r="G11" s="463"/>
      <c r="H11" s="464"/>
      <c r="I11" s="463"/>
      <c r="J11" s="463"/>
      <c r="K11" s="463"/>
      <c r="L11" s="450"/>
    </row>
    <row r="12" spans="1:13" ht="15.75">
      <c r="A12" s="460">
        <v>900</v>
      </c>
      <c r="B12" s="461">
        <v>90003</v>
      </c>
      <c r="C12" s="462">
        <v>4210</v>
      </c>
      <c r="D12" s="465">
        <v>0</v>
      </c>
      <c r="E12" s="465">
        <v>0</v>
      </c>
      <c r="F12" s="465">
        <v>0</v>
      </c>
      <c r="G12" s="465">
        <v>0</v>
      </c>
      <c r="H12" s="465">
        <v>0</v>
      </c>
      <c r="I12" s="465">
        <v>0</v>
      </c>
      <c r="J12" s="465">
        <f>1500-740</f>
        <v>760</v>
      </c>
      <c r="K12" s="465">
        <v>1500</v>
      </c>
      <c r="L12" s="466">
        <f>SUM(D12:K12)</f>
        <v>2260</v>
      </c>
    </row>
    <row r="13" spans="1:13" ht="15.75" hidden="1">
      <c r="A13" s="467"/>
      <c r="B13" s="446"/>
      <c r="C13" s="468"/>
      <c r="D13" s="465"/>
      <c r="E13" s="465"/>
      <c r="F13" s="465"/>
      <c r="G13" s="465"/>
      <c r="H13" s="465"/>
      <c r="I13" s="465"/>
      <c r="J13" s="465"/>
      <c r="K13" s="465"/>
      <c r="L13" s="466">
        <f t="shared" ref="L13:L31" si="0">SUM(D13:K13)</f>
        <v>0</v>
      </c>
    </row>
    <row r="14" spans="1:13" ht="15.75">
      <c r="A14" s="469">
        <v>900</v>
      </c>
      <c r="B14" s="470">
        <v>90003</v>
      </c>
      <c r="C14" s="471">
        <v>4300</v>
      </c>
      <c r="D14" s="465">
        <v>0</v>
      </c>
      <c r="E14" s="465">
        <v>0</v>
      </c>
      <c r="F14" s="465">
        <v>0</v>
      </c>
      <c r="G14" s="465">
        <v>0</v>
      </c>
      <c r="H14" s="465">
        <v>0</v>
      </c>
      <c r="I14" s="465">
        <v>0</v>
      </c>
      <c r="J14" s="465">
        <v>300</v>
      </c>
      <c r="K14" s="465">
        <v>700</v>
      </c>
      <c r="L14" s="466">
        <f t="shared" si="0"/>
        <v>1000</v>
      </c>
    </row>
    <row r="15" spans="1:13" ht="15.75">
      <c r="A15" s="469">
        <v>900</v>
      </c>
      <c r="B15" s="470">
        <v>90004</v>
      </c>
      <c r="C15" s="471">
        <v>4210</v>
      </c>
      <c r="D15" s="465">
        <f>700-213</f>
        <v>487</v>
      </c>
      <c r="E15" s="465">
        <v>0</v>
      </c>
      <c r="F15" s="465">
        <v>0</v>
      </c>
      <c r="G15" s="465">
        <v>0</v>
      </c>
      <c r="H15" s="465">
        <f>1000+5000</f>
        <v>6000</v>
      </c>
      <c r="I15" s="465">
        <v>0</v>
      </c>
      <c r="J15" s="465">
        <v>0</v>
      </c>
      <c r="K15" s="465">
        <v>2300</v>
      </c>
      <c r="L15" s="466">
        <f t="shared" si="0"/>
        <v>8787</v>
      </c>
    </row>
    <row r="16" spans="1:13" ht="15.75">
      <c r="A16" s="469">
        <v>900</v>
      </c>
      <c r="B16" s="470">
        <v>90004</v>
      </c>
      <c r="C16" s="471">
        <v>4300</v>
      </c>
      <c r="D16" s="465">
        <v>500</v>
      </c>
      <c r="E16" s="465">
        <v>4000</v>
      </c>
      <c r="F16" s="465">
        <v>0</v>
      </c>
      <c r="G16" s="465">
        <v>0</v>
      </c>
      <c r="H16" s="465">
        <v>2000</v>
      </c>
      <c r="I16" s="465">
        <v>0</v>
      </c>
      <c r="J16" s="465">
        <v>0</v>
      </c>
      <c r="K16" s="465">
        <v>2000</v>
      </c>
      <c r="L16" s="466">
        <f t="shared" si="0"/>
        <v>8500</v>
      </c>
    </row>
    <row r="17" spans="1:12" ht="15.75">
      <c r="A17" s="469">
        <v>921</v>
      </c>
      <c r="B17" s="470">
        <v>92105</v>
      </c>
      <c r="C17" s="471">
        <v>4170</v>
      </c>
      <c r="D17" s="465"/>
      <c r="E17" s="465"/>
      <c r="F17" s="465"/>
      <c r="G17" s="465"/>
      <c r="H17" s="465"/>
      <c r="I17" s="465"/>
      <c r="J17" s="465">
        <v>740</v>
      </c>
      <c r="K17" s="465"/>
      <c r="L17" s="466">
        <f t="shared" si="0"/>
        <v>740</v>
      </c>
    </row>
    <row r="18" spans="1:12" ht="15.75">
      <c r="A18" s="469">
        <v>921</v>
      </c>
      <c r="B18" s="470">
        <v>92105</v>
      </c>
      <c r="C18" s="471">
        <v>4210</v>
      </c>
      <c r="D18" s="465">
        <v>1000</v>
      </c>
      <c r="E18" s="465">
        <v>1000</v>
      </c>
      <c r="F18" s="465">
        <v>7000</v>
      </c>
      <c r="G18" s="465">
        <v>2000</v>
      </c>
      <c r="H18" s="465">
        <v>6000</v>
      </c>
      <c r="I18" s="465">
        <f>1000+5432</f>
        <v>6432</v>
      </c>
      <c r="J18" s="465">
        <v>1500</v>
      </c>
      <c r="K18" s="465">
        <v>4000</v>
      </c>
      <c r="L18" s="466">
        <f t="shared" si="0"/>
        <v>28932</v>
      </c>
    </row>
    <row r="19" spans="1:12" ht="15.75">
      <c r="A19" s="469">
        <v>921</v>
      </c>
      <c r="B19" s="470">
        <v>92105</v>
      </c>
      <c r="C19" s="471">
        <v>4300</v>
      </c>
      <c r="D19" s="465">
        <v>5000</v>
      </c>
      <c r="E19" s="465">
        <v>0</v>
      </c>
      <c r="F19" s="465">
        <v>7000</v>
      </c>
      <c r="G19" s="465">
        <v>6000</v>
      </c>
      <c r="H19" s="465">
        <v>8000</v>
      </c>
      <c r="I19" s="465">
        <f>5000+5000</f>
        <v>10000</v>
      </c>
      <c r="J19" s="465">
        <v>1000</v>
      </c>
      <c r="K19" s="465">
        <f>8000-4489</f>
        <v>3511</v>
      </c>
      <c r="L19" s="466">
        <f t="shared" si="0"/>
        <v>40511</v>
      </c>
    </row>
    <row r="20" spans="1:12" ht="15.75">
      <c r="A20" s="460">
        <v>921</v>
      </c>
      <c r="B20" s="461">
        <v>92109</v>
      </c>
      <c r="C20" s="462">
        <v>4210</v>
      </c>
      <c r="D20" s="465">
        <v>2000</v>
      </c>
      <c r="E20" s="465">
        <f>700+429</f>
        <v>1129</v>
      </c>
      <c r="F20" s="465">
        <v>4000</v>
      </c>
      <c r="G20" s="465">
        <v>0</v>
      </c>
      <c r="H20" s="465">
        <v>6000</v>
      </c>
      <c r="I20" s="465">
        <f>5000+5000</f>
        <v>10000</v>
      </c>
      <c r="J20" s="465">
        <v>1000</v>
      </c>
      <c r="K20" s="465">
        <v>800</v>
      </c>
      <c r="L20" s="466">
        <f t="shared" si="0"/>
        <v>24929</v>
      </c>
    </row>
    <row r="21" spans="1:12" ht="15.75" hidden="1">
      <c r="A21" s="460"/>
      <c r="B21" s="461"/>
      <c r="C21" s="462"/>
      <c r="D21" s="465"/>
      <c r="E21" s="465"/>
      <c r="F21" s="465"/>
      <c r="G21" s="465"/>
      <c r="H21" s="465"/>
      <c r="I21" s="465"/>
      <c r="J21" s="465"/>
      <c r="K21" s="465"/>
      <c r="L21" s="466">
        <f t="shared" si="0"/>
        <v>0</v>
      </c>
    </row>
    <row r="22" spans="1:12" ht="15.75" hidden="1">
      <c r="A22" s="460"/>
      <c r="B22" s="461"/>
      <c r="C22" s="462"/>
      <c r="D22" s="465"/>
      <c r="E22" s="465"/>
      <c r="F22" s="465"/>
      <c r="G22" s="465"/>
      <c r="H22" s="465"/>
      <c r="I22" s="465"/>
      <c r="J22" s="465"/>
      <c r="K22" s="465"/>
      <c r="L22" s="466">
        <f t="shared" si="0"/>
        <v>0</v>
      </c>
    </row>
    <row r="23" spans="1:12" ht="15.75" hidden="1">
      <c r="A23" s="460"/>
      <c r="B23" s="461"/>
      <c r="C23" s="462"/>
      <c r="D23" s="465"/>
      <c r="E23" s="465"/>
      <c r="F23" s="465"/>
      <c r="G23" s="465"/>
      <c r="H23" s="465"/>
      <c r="I23" s="465"/>
      <c r="J23" s="465"/>
      <c r="K23" s="465"/>
      <c r="L23" s="466">
        <f t="shared" si="0"/>
        <v>0</v>
      </c>
    </row>
    <row r="24" spans="1:12" ht="15.75" hidden="1">
      <c r="A24" s="460"/>
      <c r="B24" s="461"/>
      <c r="C24" s="462"/>
      <c r="D24" s="465"/>
      <c r="E24" s="465"/>
      <c r="F24" s="465"/>
      <c r="G24" s="465"/>
      <c r="H24" s="465"/>
      <c r="I24" s="465"/>
      <c r="J24" s="465"/>
      <c r="K24" s="465"/>
      <c r="L24" s="466">
        <f t="shared" si="0"/>
        <v>0</v>
      </c>
    </row>
    <row r="25" spans="1:12" ht="15.75" hidden="1">
      <c r="A25" s="460"/>
      <c r="B25" s="461"/>
      <c r="C25" s="462"/>
      <c r="D25" s="465"/>
      <c r="E25" s="465"/>
      <c r="F25" s="465"/>
      <c r="G25" s="465"/>
      <c r="H25" s="465"/>
      <c r="I25" s="465"/>
      <c r="J25" s="465"/>
      <c r="K25" s="465"/>
      <c r="L25" s="466">
        <f t="shared" si="0"/>
        <v>0</v>
      </c>
    </row>
    <row r="26" spans="1:12" ht="15.75">
      <c r="A26" s="460">
        <v>921</v>
      </c>
      <c r="B26" s="461">
        <v>92109</v>
      </c>
      <c r="C26" s="462">
        <v>4300</v>
      </c>
      <c r="D26" s="465">
        <v>1000</v>
      </c>
      <c r="E26" s="465">
        <v>1000</v>
      </c>
      <c r="F26" s="465">
        <v>8000</v>
      </c>
      <c r="G26" s="465">
        <v>2000</v>
      </c>
      <c r="H26" s="465">
        <f>2000+7621</f>
        <v>9621</v>
      </c>
      <c r="I26" s="465">
        <v>3000</v>
      </c>
      <c r="J26" s="465">
        <v>1000</v>
      </c>
      <c r="K26" s="465">
        <v>1000</v>
      </c>
      <c r="L26" s="466">
        <f t="shared" si="0"/>
        <v>26621</v>
      </c>
    </row>
    <row r="27" spans="1:12" ht="15.75">
      <c r="A27" s="460">
        <v>926</v>
      </c>
      <c r="B27" s="461">
        <v>92601</v>
      </c>
      <c r="C27" s="462">
        <v>4300</v>
      </c>
      <c r="D27" s="465">
        <v>0</v>
      </c>
      <c r="E27" s="465">
        <v>0</v>
      </c>
      <c r="F27" s="465">
        <v>8000</v>
      </c>
      <c r="G27" s="465">
        <v>2000</v>
      </c>
      <c r="H27" s="465">
        <v>4000</v>
      </c>
      <c r="I27" s="465">
        <v>0</v>
      </c>
      <c r="J27" s="465">
        <v>0</v>
      </c>
      <c r="K27" s="465">
        <v>0</v>
      </c>
      <c r="L27" s="466">
        <f t="shared" si="0"/>
        <v>14000</v>
      </c>
    </row>
    <row r="28" spans="1:12" ht="15.75">
      <c r="A28" s="460">
        <v>926</v>
      </c>
      <c r="B28" s="461">
        <v>92605</v>
      </c>
      <c r="C28" s="462">
        <v>4210</v>
      </c>
      <c r="D28" s="465">
        <v>0</v>
      </c>
      <c r="E28" s="465">
        <v>0</v>
      </c>
      <c r="F28" s="465">
        <f>2000+2945</f>
        <v>4945</v>
      </c>
      <c r="G28" s="465">
        <v>1000</v>
      </c>
      <c r="H28" s="465">
        <f>2000+5000</f>
        <v>7000</v>
      </c>
      <c r="I28" s="465">
        <v>2000</v>
      </c>
      <c r="J28" s="465">
        <v>2000</v>
      </c>
      <c r="K28" s="465">
        <v>3000</v>
      </c>
      <c r="L28" s="466">
        <f t="shared" si="0"/>
        <v>19945</v>
      </c>
    </row>
    <row r="29" spans="1:12" ht="15.75" hidden="1">
      <c r="A29" s="460"/>
      <c r="B29" s="461"/>
      <c r="C29" s="462"/>
      <c r="D29" s="465"/>
      <c r="E29" s="465"/>
      <c r="F29" s="465"/>
      <c r="G29" s="465"/>
      <c r="H29" s="465"/>
      <c r="I29" s="465"/>
      <c r="J29" s="465"/>
      <c r="K29" s="465"/>
      <c r="L29" s="466">
        <f t="shared" si="0"/>
        <v>0</v>
      </c>
    </row>
    <row r="30" spans="1:12" ht="15.75" hidden="1">
      <c r="A30" s="472"/>
      <c r="C30" s="473"/>
      <c r="D30" s="463"/>
      <c r="E30" s="463"/>
      <c r="F30" s="463"/>
      <c r="G30" s="463"/>
      <c r="H30" s="463"/>
      <c r="I30" s="463"/>
      <c r="J30" s="463"/>
      <c r="K30" s="463"/>
      <c r="L30" s="466">
        <f t="shared" si="0"/>
        <v>0</v>
      </c>
    </row>
    <row r="31" spans="1:12" ht="15.75">
      <c r="A31" s="469">
        <v>926</v>
      </c>
      <c r="B31" s="470">
        <v>92605</v>
      </c>
      <c r="C31" s="471">
        <v>4300</v>
      </c>
      <c r="D31" s="463">
        <v>0</v>
      </c>
      <c r="E31" s="463">
        <v>0</v>
      </c>
      <c r="F31" s="463">
        <v>0</v>
      </c>
      <c r="G31" s="463">
        <v>5574</v>
      </c>
      <c r="H31" s="463">
        <f>4000+5000</f>
        <v>9000</v>
      </c>
      <c r="I31" s="463">
        <v>0</v>
      </c>
      <c r="J31" s="463">
        <f>0+1299</f>
        <v>1299</v>
      </c>
      <c r="K31" s="463">
        <v>3000</v>
      </c>
      <c r="L31" s="466">
        <f t="shared" si="0"/>
        <v>18873</v>
      </c>
    </row>
    <row r="32" spans="1:12" ht="16.5" thickBot="1">
      <c r="A32" s="472"/>
      <c r="C32" s="473"/>
      <c r="D32" s="463"/>
      <c r="E32" s="463"/>
      <c r="F32" s="463"/>
      <c r="G32" s="463"/>
      <c r="H32" s="463"/>
      <c r="I32" s="463"/>
      <c r="J32" s="463"/>
      <c r="K32" s="463"/>
      <c r="L32" s="450"/>
    </row>
    <row r="33" spans="1:12" ht="16.5" thickBot="1">
      <c r="A33" s="593" t="s">
        <v>421</v>
      </c>
      <c r="B33" s="594"/>
      <c r="C33" s="595"/>
      <c r="D33" s="474">
        <f t="shared" ref="D33:K33" si="1">SUM(D12+D14+D15+D16+D18+D19+D20+D26+D27+D28+D31)</f>
        <v>9987</v>
      </c>
      <c r="E33" s="474">
        <f t="shared" si="1"/>
        <v>7129</v>
      </c>
      <c r="F33" s="474">
        <f t="shared" si="1"/>
        <v>38945</v>
      </c>
      <c r="G33" s="474">
        <f t="shared" si="1"/>
        <v>18574</v>
      </c>
      <c r="H33" s="474">
        <f t="shared" si="1"/>
        <v>57621</v>
      </c>
      <c r="I33" s="474">
        <f t="shared" si="1"/>
        <v>31432</v>
      </c>
      <c r="J33" s="474">
        <f>SUM(J12:J31)</f>
        <v>9599</v>
      </c>
      <c r="K33" s="474">
        <f t="shared" si="1"/>
        <v>21811</v>
      </c>
      <c r="L33" s="466"/>
    </row>
    <row r="34" spans="1:12" hidden="1">
      <c r="L34" s="450"/>
    </row>
    <row r="35" spans="1:12" ht="15.75">
      <c r="B35" s="592"/>
      <c r="C35" s="592"/>
      <c r="D35" s="475"/>
      <c r="L35" s="450"/>
    </row>
    <row r="36" spans="1:12" ht="15.75">
      <c r="B36" s="592" t="s">
        <v>422</v>
      </c>
      <c r="C36" s="592"/>
      <c r="D36" s="475">
        <f>SUM(D33:K33)</f>
        <v>195098</v>
      </c>
    </row>
  </sheetData>
  <mergeCells count="13">
    <mergeCell ref="B36:C36"/>
    <mergeCell ref="A33:C33"/>
    <mergeCell ref="B35:C35"/>
    <mergeCell ref="I4:K4"/>
    <mergeCell ref="A8:C8"/>
    <mergeCell ref="D8:D9"/>
    <mergeCell ref="E8:E9"/>
    <mergeCell ref="F8:F9"/>
    <mergeCell ref="G8:G9"/>
    <mergeCell ref="H8:H9"/>
    <mergeCell ref="I8:I9"/>
    <mergeCell ref="J8:J9"/>
    <mergeCell ref="K8:K9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&amp;RZałącznik Nr 5
do Uchwały Nr II/..../2024 
Rady Gminy Komorniki z dnia 22 maja 2024r.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FE1B-1064-4B82-80F0-4CA244CC53E8}">
  <dimension ref="A1:F101"/>
  <sheetViews>
    <sheetView topLeftCell="A16" workbookViewId="0">
      <selection activeCell="B28" sqref="B28:D28"/>
    </sheetView>
  </sheetViews>
  <sheetFormatPr defaultRowHeight="15"/>
  <cols>
    <col min="1" max="1" width="5.5703125" customWidth="1"/>
    <col min="2" max="2" width="8.5703125" customWidth="1"/>
    <col min="3" max="3" width="6.5703125" customWidth="1"/>
    <col min="4" max="4" width="55" customWidth="1"/>
    <col min="5" max="5" width="16" customWidth="1"/>
    <col min="6" max="6" width="12.140625" customWidth="1"/>
  </cols>
  <sheetData>
    <row r="1" spans="1:6">
      <c r="A1" s="385"/>
    </row>
    <row r="2" spans="1:6">
      <c r="A2" s="385"/>
    </row>
    <row r="3" spans="1:6">
      <c r="A3" s="385"/>
    </row>
    <row r="4" spans="1:6">
      <c r="A4" s="385"/>
    </row>
    <row r="5" spans="1:6">
      <c r="A5" s="611" t="s">
        <v>389</v>
      </c>
      <c r="B5" s="567"/>
      <c r="C5" s="567"/>
      <c r="D5" s="567"/>
      <c r="E5" s="567"/>
      <c r="F5" s="567"/>
    </row>
    <row r="6" spans="1:6" ht="15.75" thickBot="1">
      <c r="A6" s="387"/>
    </row>
    <row r="7" spans="1:6">
      <c r="A7" s="388"/>
      <c r="B7" s="389"/>
      <c r="C7" s="389"/>
      <c r="D7" s="612" t="s">
        <v>390</v>
      </c>
      <c r="E7" s="613"/>
      <c r="F7" s="389"/>
    </row>
    <row r="8" spans="1:6" ht="15.75" thickBot="1">
      <c r="A8" s="412" t="s">
        <v>391</v>
      </c>
      <c r="B8" s="390" t="s">
        <v>392</v>
      </c>
      <c r="C8" s="390" t="s">
        <v>2</v>
      </c>
      <c r="D8" s="614"/>
      <c r="E8" s="615"/>
      <c r="F8" s="390" t="s">
        <v>197</v>
      </c>
    </row>
    <row r="9" spans="1:6" ht="15.75" thickBot="1">
      <c r="A9" s="392">
        <v>1</v>
      </c>
      <c r="B9" s="393">
        <v>2</v>
      </c>
      <c r="C9" s="393">
        <v>3</v>
      </c>
      <c r="D9" s="616">
        <v>4</v>
      </c>
      <c r="E9" s="617"/>
      <c r="F9" s="393">
        <v>5</v>
      </c>
    </row>
    <row r="10" spans="1:6" ht="15.75">
      <c r="A10" s="394"/>
      <c r="B10" s="395"/>
      <c r="C10" s="395" t="s">
        <v>382</v>
      </c>
      <c r="D10" s="612" t="s">
        <v>393</v>
      </c>
      <c r="E10" s="618"/>
      <c r="F10" s="397" t="s">
        <v>385</v>
      </c>
    </row>
    <row r="11" spans="1:6" ht="42" customHeight="1">
      <c r="A11" s="398">
        <v>750</v>
      </c>
      <c r="B11" s="399">
        <v>75095</v>
      </c>
      <c r="C11" s="400">
        <v>6207</v>
      </c>
      <c r="D11" s="604" t="s">
        <v>394</v>
      </c>
      <c r="E11" s="605"/>
      <c r="F11" s="401">
        <v>756500</v>
      </c>
    </row>
    <row r="12" spans="1:6" ht="39" customHeight="1">
      <c r="A12" s="398">
        <v>750</v>
      </c>
      <c r="B12" s="399">
        <v>75095</v>
      </c>
      <c r="C12" s="400">
        <v>6209</v>
      </c>
      <c r="D12" s="604" t="s">
        <v>394</v>
      </c>
      <c r="E12" s="605"/>
      <c r="F12" s="401">
        <v>93500</v>
      </c>
    </row>
    <row r="13" spans="1:6">
      <c r="A13" s="398"/>
      <c r="B13" s="399"/>
      <c r="C13" s="400"/>
      <c r="D13" s="619" t="s">
        <v>431</v>
      </c>
      <c r="E13" s="620"/>
      <c r="F13" s="401"/>
    </row>
    <row r="14" spans="1:6" ht="38.25" customHeight="1">
      <c r="A14" s="398">
        <v>801</v>
      </c>
      <c r="B14" s="399">
        <v>80195</v>
      </c>
      <c r="C14" s="400">
        <v>2057</v>
      </c>
      <c r="D14" s="604" t="s">
        <v>394</v>
      </c>
      <c r="E14" s="605"/>
      <c r="F14" s="401">
        <v>113717</v>
      </c>
    </row>
    <row r="15" spans="1:6" ht="38.25" customHeight="1">
      <c r="A15" s="398"/>
      <c r="B15" s="399"/>
      <c r="C15" s="400">
        <v>6257</v>
      </c>
      <c r="D15" s="604" t="s">
        <v>394</v>
      </c>
      <c r="E15" s="605"/>
      <c r="F15" s="401">
        <v>94400</v>
      </c>
    </row>
    <row r="16" spans="1:6">
      <c r="A16" s="398"/>
      <c r="B16" s="399"/>
      <c r="C16" s="400"/>
      <c r="D16" s="619" t="s">
        <v>460</v>
      </c>
      <c r="E16" s="620"/>
      <c r="F16" s="401"/>
    </row>
    <row r="17" spans="1:6" ht="38.25" customHeight="1">
      <c r="A17" s="398">
        <v>750</v>
      </c>
      <c r="B17" s="399">
        <v>75095</v>
      </c>
      <c r="C17" s="400">
        <v>6057</v>
      </c>
      <c r="D17" s="604" t="s">
        <v>394</v>
      </c>
      <c r="E17" s="605"/>
      <c r="F17" s="401"/>
    </row>
    <row r="18" spans="1:6">
      <c r="A18" s="398"/>
      <c r="B18" s="399"/>
      <c r="C18" s="400"/>
      <c r="D18" s="619" t="s">
        <v>461</v>
      </c>
      <c r="E18" s="620"/>
      <c r="F18" s="401"/>
    </row>
    <row r="19" spans="1:6" ht="39" customHeight="1">
      <c r="A19" s="398">
        <v>600</v>
      </c>
      <c r="B19" s="399">
        <v>60095</v>
      </c>
      <c r="C19" s="400">
        <v>6207</v>
      </c>
      <c r="D19" s="604" t="s">
        <v>425</v>
      </c>
      <c r="E19" s="605"/>
      <c r="F19" s="417">
        <v>251319</v>
      </c>
    </row>
    <row r="20" spans="1:6">
      <c r="A20" s="398"/>
      <c r="B20" s="399"/>
      <c r="C20" s="400"/>
      <c r="D20" s="619" t="s">
        <v>462</v>
      </c>
      <c r="E20" s="620"/>
      <c r="F20" s="417"/>
    </row>
    <row r="21" spans="1:6" ht="39" customHeight="1">
      <c r="A21" s="398">
        <v>750</v>
      </c>
      <c r="B21" s="399">
        <v>75095</v>
      </c>
      <c r="C21" s="400">
        <v>6257</v>
      </c>
      <c r="D21" s="604" t="s">
        <v>394</v>
      </c>
      <c r="E21" s="605"/>
      <c r="F21" s="417">
        <v>207825</v>
      </c>
    </row>
    <row r="22" spans="1:6">
      <c r="A22" s="398"/>
      <c r="B22" s="399"/>
      <c r="C22" s="400"/>
      <c r="D22" s="619" t="s">
        <v>463</v>
      </c>
      <c r="E22" s="620"/>
      <c r="F22" s="417"/>
    </row>
    <row r="23" spans="1:6" ht="50.25" customHeight="1">
      <c r="A23" s="398">
        <v>900</v>
      </c>
      <c r="B23" s="399">
        <v>90005</v>
      </c>
      <c r="C23" s="400">
        <v>2057</v>
      </c>
      <c r="D23" s="604" t="s">
        <v>394</v>
      </c>
      <c r="E23" s="605"/>
      <c r="F23" s="401">
        <v>80217</v>
      </c>
    </row>
    <row r="24" spans="1:6" ht="15.75" thickBot="1">
      <c r="A24" s="402"/>
      <c r="B24" s="403"/>
      <c r="C24" s="403"/>
      <c r="D24" s="606"/>
      <c r="E24" s="607"/>
      <c r="F24" s="404"/>
    </row>
    <row r="25" spans="1:6">
      <c r="A25" s="405"/>
      <c r="B25" s="405"/>
      <c r="C25" s="405"/>
      <c r="D25" s="405"/>
      <c r="E25" s="406"/>
    </row>
    <row r="26" spans="1:6">
      <c r="A26" s="564" t="s">
        <v>464</v>
      </c>
      <c r="B26" s="608" t="s">
        <v>465</v>
      </c>
      <c r="C26" s="609"/>
      <c r="D26" s="609"/>
      <c r="E26" s="609"/>
    </row>
    <row r="27" spans="1:6">
      <c r="A27" s="564" t="s">
        <v>466</v>
      </c>
      <c r="B27" s="608" t="s">
        <v>469</v>
      </c>
      <c r="C27" s="608"/>
      <c r="D27" s="608"/>
      <c r="E27" s="406"/>
    </row>
    <row r="28" spans="1:6">
      <c r="A28" s="564" t="s">
        <v>467</v>
      </c>
      <c r="B28" s="610" t="s">
        <v>487</v>
      </c>
      <c r="C28" s="610"/>
      <c r="D28" s="610"/>
      <c r="E28" s="406"/>
    </row>
    <row r="29" spans="1:6">
      <c r="A29" s="564" t="s">
        <v>468</v>
      </c>
      <c r="B29" s="610" t="s">
        <v>488</v>
      </c>
      <c r="C29" s="610"/>
      <c r="D29" s="610"/>
      <c r="E29" s="406"/>
    </row>
    <row r="30" spans="1:6">
      <c r="A30" s="405"/>
      <c r="B30" s="405"/>
      <c r="C30" s="405"/>
      <c r="D30" s="405"/>
      <c r="E30" s="406"/>
    </row>
    <row r="31" spans="1:6">
      <c r="A31" s="405"/>
      <c r="B31" s="405"/>
      <c r="C31" s="405"/>
      <c r="D31" s="405"/>
      <c r="E31" s="406"/>
    </row>
    <row r="32" spans="1:6">
      <c r="A32" s="405"/>
      <c r="B32" s="405"/>
      <c r="C32" s="405"/>
      <c r="D32" s="405"/>
      <c r="E32" s="406"/>
    </row>
    <row r="33" spans="1:5">
      <c r="A33" s="405"/>
      <c r="B33" s="405"/>
      <c r="C33" s="405"/>
      <c r="D33" s="405"/>
      <c r="E33" s="406"/>
    </row>
    <row r="34" spans="1:5">
      <c r="A34" s="405"/>
      <c r="B34" s="405"/>
      <c r="C34" s="405"/>
      <c r="D34" s="405"/>
      <c r="E34" s="406"/>
    </row>
    <row r="35" spans="1:5">
      <c r="A35" s="405"/>
      <c r="B35" s="405"/>
      <c r="C35" s="405"/>
      <c r="D35" s="405"/>
      <c r="E35" s="406"/>
    </row>
    <row r="36" spans="1:5">
      <c r="A36" s="405"/>
      <c r="B36" s="405"/>
      <c r="C36" s="405"/>
      <c r="D36" s="405"/>
      <c r="E36" s="406"/>
    </row>
    <row r="37" spans="1:5">
      <c r="A37" s="405"/>
      <c r="B37" s="405"/>
      <c r="C37" s="405"/>
      <c r="D37" s="405"/>
      <c r="E37" s="406"/>
    </row>
    <row r="38" spans="1:5">
      <c r="A38" s="405"/>
      <c r="B38" s="405"/>
      <c r="C38" s="405"/>
      <c r="D38" s="405"/>
      <c r="E38" s="406"/>
    </row>
    <row r="39" spans="1:5">
      <c r="A39" s="405"/>
      <c r="B39" s="405"/>
      <c r="C39" s="405"/>
      <c r="D39" s="405"/>
      <c r="E39" s="406"/>
    </row>
    <row r="40" spans="1:5">
      <c r="A40" s="405"/>
      <c r="B40" s="405"/>
      <c r="C40" s="405"/>
      <c r="D40" s="405"/>
      <c r="E40" s="406"/>
    </row>
    <row r="41" spans="1:5">
      <c r="A41" s="405"/>
      <c r="B41" s="405"/>
      <c r="C41" s="405"/>
      <c r="D41" s="405"/>
      <c r="E41" s="406"/>
    </row>
    <row r="42" spans="1:5">
      <c r="A42" s="405"/>
      <c r="B42" s="405"/>
      <c r="C42" s="405"/>
      <c r="D42" s="405"/>
      <c r="E42" s="406"/>
    </row>
    <row r="43" spans="1:5">
      <c r="A43" s="405"/>
      <c r="B43" s="405"/>
      <c r="C43" s="405"/>
      <c r="D43" s="405"/>
      <c r="E43" s="406"/>
    </row>
    <row r="44" spans="1:5">
      <c r="A44" s="405"/>
      <c r="B44" s="405"/>
      <c r="C44" s="405"/>
      <c r="D44" s="405"/>
      <c r="E44" s="406"/>
    </row>
    <row r="45" spans="1:5">
      <c r="A45" s="405"/>
      <c r="B45" s="405"/>
      <c r="C45" s="405"/>
      <c r="D45" s="405"/>
      <c r="E45" s="406"/>
    </row>
    <row r="46" spans="1:5">
      <c r="A46" s="405"/>
      <c r="B46" s="405"/>
      <c r="C46" s="405"/>
      <c r="D46" s="405"/>
      <c r="E46" s="406"/>
    </row>
    <row r="47" spans="1:5">
      <c r="B47" s="405"/>
      <c r="C47" s="405"/>
      <c r="D47" s="405"/>
      <c r="E47" s="406"/>
    </row>
    <row r="48" spans="1:5">
      <c r="B48" s="405"/>
      <c r="C48" s="405"/>
      <c r="D48" s="405"/>
      <c r="E48" s="406"/>
    </row>
    <row r="49" spans="1:6" ht="15.75">
      <c r="A49" s="407" t="s">
        <v>395</v>
      </c>
    </row>
    <row r="50" spans="1:6" ht="16.5" thickBot="1">
      <c r="A50" s="386"/>
    </row>
    <row r="51" spans="1:6">
      <c r="A51" s="408"/>
      <c r="B51" s="409"/>
      <c r="C51" s="409"/>
      <c r="D51" s="409"/>
      <c r="E51" s="601" t="s">
        <v>396</v>
      </c>
      <c r="F51" s="601" t="s">
        <v>397</v>
      </c>
    </row>
    <row r="52" spans="1:6">
      <c r="A52" s="410" t="s">
        <v>391</v>
      </c>
      <c r="B52" s="411" t="s">
        <v>392</v>
      </c>
      <c r="C52" s="411" t="s">
        <v>2</v>
      </c>
      <c r="D52" s="411" t="s">
        <v>398</v>
      </c>
      <c r="E52" s="602"/>
      <c r="F52" s="602"/>
    </row>
    <row r="53" spans="1:6" ht="15.75" thickBot="1">
      <c r="A53" s="402"/>
      <c r="B53" s="403"/>
      <c r="C53" s="390"/>
      <c r="D53" s="390" t="s">
        <v>399</v>
      </c>
      <c r="E53" s="603"/>
      <c r="F53" s="603"/>
    </row>
    <row r="54" spans="1:6" ht="15.75" thickBot="1">
      <c r="A54" s="413">
        <v>1</v>
      </c>
      <c r="B54" s="391">
        <v>2</v>
      </c>
      <c r="C54" s="391">
        <v>3</v>
      </c>
      <c r="D54" s="391">
        <v>4</v>
      </c>
      <c r="E54" s="391">
        <v>5</v>
      </c>
      <c r="F54" s="391">
        <v>6</v>
      </c>
    </row>
    <row r="55" spans="1:6">
      <c r="A55" s="414"/>
      <c r="B55" s="415"/>
      <c r="C55" s="415"/>
      <c r="D55" s="555" t="s">
        <v>470</v>
      </c>
      <c r="E55" s="414"/>
      <c r="F55" s="396"/>
    </row>
    <row r="56" spans="1:6">
      <c r="A56" s="416">
        <v>750</v>
      </c>
      <c r="B56" s="400">
        <v>75095</v>
      </c>
      <c r="C56" s="400">
        <v>6067</v>
      </c>
      <c r="D56" s="556" t="s">
        <v>432</v>
      </c>
      <c r="E56" s="561" t="s">
        <v>400</v>
      </c>
      <c r="F56" s="417">
        <v>756500</v>
      </c>
    </row>
    <row r="57" spans="1:6">
      <c r="A57" s="416"/>
      <c r="B57" s="400"/>
      <c r="C57" s="400">
        <v>6069</v>
      </c>
      <c r="D57" s="556" t="s">
        <v>401</v>
      </c>
      <c r="E57" s="561" t="s">
        <v>402</v>
      </c>
      <c r="F57" s="418">
        <v>255404</v>
      </c>
    </row>
    <row r="58" spans="1:6" ht="16.5" customHeight="1">
      <c r="A58" s="416"/>
      <c r="B58" s="400"/>
      <c r="C58" s="400"/>
      <c r="D58" s="556" t="s">
        <v>403</v>
      </c>
      <c r="E58" s="561"/>
      <c r="F58" s="417">
        <f>SUM(F56:F57)</f>
        <v>1011904</v>
      </c>
    </row>
    <row r="59" spans="1:6">
      <c r="A59" s="416"/>
      <c r="B59" s="400"/>
      <c r="C59" s="400"/>
      <c r="D59" s="557" t="s">
        <v>404</v>
      </c>
      <c r="E59" s="561"/>
      <c r="F59" s="417"/>
    </row>
    <row r="60" spans="1:6">
      <c r="A60" s="416"/>
      <c r="B60" s="400"/>
      <c r="C60" s="400"/>
      <c r="D60" s="556" t="s">
        <v>405</v>
      </c>
      <c r="E60" s="561"/>
      <c r="F60" s="417"/>
    </row>
    <row r="61" spans="1:6" ht="8.25" customHeight="1">
      <c r="A61" s="416"/>
      <c r="B61" s="400"/>
      <c r="C61" s="400"/>
      <c r="D61" s="558"/>
      <c r="E61" s="561"/>
      <c r="F61" s="417"/>
    </row>
    <row r="62" spans="1:6">
      <c r="A62" s="416"/>
      <c r="B62" s="400"/>
      <c r="C62" s="400"/>
      <c r="D62" s="557" t="s">
        <v>406</v>
      </c>
      <c r="E62" s="561"/>
      <c r="F62" s="419"/>
    </row>
    <row r="63" spans="1:6">
      <c r="A63" s="416"/>
      <c r="B63" s="400"/>
      <c r="C63" s="400"/>
      <c r="D63" s="556" t="s">
        <v>407</v>
      </c>
      <c r="E63" s="561"/>
      <c r="F63" s="419"/>
    </row>
    <row r="64" spans="1:6">
      <c r="A64" s="416"/>
      <c r="B64" s="400"/>
      <c r="C64" s="400"/>
      <c r="D64" s="556" t="s">
        <v>408</v>
      </c>
      <c r="E64" s="561"/>
      <c r="F64" s="420"/>
    </row>
    <row r="65" spans="1:6">
      <c r="A65" s="416"/>
      <c r="B65" s="400"/>
      <c r="C65" s="400"/>
      <c r="D65" s="556" t="s">
        <v>475</v>
      </c>
      <c r="E65" s="561"/>
      <c r="F65" s="419"/>
    </row>
    <row r="66" spans="1:6">
      <c r="A66" s="416"/>
      <c r="B66" s="400"/>
      <c r="C66" s="400"/>
      <c r="D66" s="556" t="s">
        <v>474</v>
      </c>
      <c r="E66" s="561"/>
      <c r="F66" s="419"/>
    </row>
    <row r="67" spans="1:6">
      <c r="A67" s="416"/>
      <c r="B67" s="400"/>
      <c r="C67" s="400"/>
      <c r="D67" s="556"/>
      <c r="E67" s="561"/>
      <c r="F67" s="419"/>
    </row>
    <row r="68" spans="1:6">
      <c r="A68" s="416"/>
      <c r="B68" s="400"/>
      <c r="C68" s="400"/>
      <c r="D68" s="559" t="s">
        <v>471</v>
      </c>
      <c r="E68" s="561"/>
      <c r="F68" s="419"/>
    </row>
    <row r="69" spans="1:6">
      <c r="A69" s="416">
        <v>801</v>
      </c>
      <c r="B69" s="400">
        <v>80195</v>
      </c>
      <c r="C69" s="400">
        <v>4307</v>
      </c>
      <c r="D69" s="553" t="s">
        <v>452</v>
      </c>
      <c r="E69" s="561"/>
      <c r="F69" s="420">
        <v>113717</v>
      </c>
    </row>
    <row r="70" spans="1:6">
      <c r="A70" s="416"/>
      <c r="B70" s="400"/>
      <c r="C70" s="400">
        <v>6057</v>
      </c>
      <c r="D70" s="557" t="s">
        <v>404</v>
      </c>
      <c r="E70" s="561"/>
      <c r="F70" s="420">
        <v>94400</v>
      </c>
    </row>
    <row r="71" spans="1:6">
      <c r="A71" s="416"/>
      <c r="B71" s="400"/>
      <c r="C71" s="400">
        <v>4309</v>
      </c>
      <c r="D71" s="554" t="s">
        <v>453</v>
      </c>
      <c r="E71" s="561"/>
      <c r="F71" s="498">
        <v>52030</v>
      </c>
    </row>
    <row r="72" spans="1:6">
      <c r="A72" s="421"/>
      <c r="B72" s="422"/>
      <c r="C72" s="423"/>
      <c r="D72" s="556" t="s">
        <v>454</v>
      </c>
      <c r="E72" s="562"/>
      <c r="F72" s="499">
        <f>SUM(F69:F71)</f>
        <v>260147</v>
      </c>
    </row>
    <row r="73" spans="1:6">
      <c r="A73" s="421"/>
      <c r="B73" s="422"/>
      <c r="C73" s="423"/>
      <c r="D73" s="556" t="s">
        <v>455</v>
      </c>
      <c r="E73" s="562"/>
      <c r="F73" s="499"/>
    </row>
    <row r="74" spans="1:6" ht="10.5" customHeight="1">
      <c r="A74" s="421"/>
      <c r="B74" s="422"/>
      <c r="C74" s="423"/>
      <c r="D74" s="558"/>
      <c r="E74" s="562"/>
      <c r="F74" s="499"/>
    </row>
    <row r="75" spans="1:6">
      <c r="A75" s="421"/>
      <c r="B75" s="422"/>
      <c r="C75" s="423"/>
      <c r="D75" s="557" t="s">
        <v>406</v>
      </c>
      <c r="E75" s="562"/>
      <c r="F75" s="499"/>
    </row>
    <row r="76" spans="1:6">
      <c r="A76" s="421"/>
      <c r="B76" s="422"/>
      <c r="C76" s="423"/>
      <c r="D76" s="554" t="s">
        <v>456</v>
      </c>
      <c r="E76" s="562"/>
      <c r="F76" s="499"/>
    </row>
    <row r="77" spans="1:6">
      <c r="A77" s="421"/>
      <c r="B77" s="422"/>
      <c r="C77" s="423"/>
      <c r="D77" s="554" t="s">
        <v>457</v>
      </c>
      <c r="E77" s="562"/>
      <c r="F77" s="499"/>
    </row>
    <row r="78" spans="1:6">
      <c r="A78" s="421"/>
      <c r="B78" s="422"/>
      <c r="C78" s="423"/>
      <c r="D78" s="556" t="s">
        <v>473</v>
      </c>
      <c r="E78" s="562"/>
      <c r="F78" s="499"/>
    </row>
    <row r="79" spans="1:6">
      <c r="A79" s="421"/>
      <c r="B79" s="422"/>
      <c r="C79" s="423"/>
      <c r="D79" s="554" t="s">
        <v>458</v>
      </c>
      <c r="E79" s="562"/>
      <c r="F79" s="499"/>
    </row>
    <row r="80" spans="1:6">
      <c r="A80" s="421"/>
      <c r="B80" s="422"/>
      <c r="C80" s="423"/>
      <c r="D80" s="554"/>
      <c r="E80" s="562"/>
      <c r="F80" s="499"/>
    </row>
    <row r="81" spans="1:6">
      <c r="A81" s="421"/>
      <c r="B81" s="422"/>
      <c r="C81" s="423"/>
      <c r="D81" s="559" t="s">
        <v>472</v>
      </c>
      <c r="E81" s="562"/>
      <c r="F81" s="499"/>
    </row>
    <row r="82" spans="1:6">
      <c r="A82" s="416">
        <v>750</v>
      </c>
      <c r="B82" s="400">
        <v>75095</v>
      </c>
      <c r="C82" s="400">
        <v>6069</v>
      </c>
      <c r="D82" s="553" t="s">
        <v>452</v>
      </c>
      <c r="E82" s="561" t="s">
        <v>400</v>
      </c>
      <c r="F82" s="499">
        <v>30000</v>
      </c>
    </row>
    <row r="83" spans="1:6">
      <c r="A83" s="421"/>
      <c r="B83" s="422"/>
      <c r="C83" s="423"/>
      <c r="D83" s="557" t="s">
        <v>404</v>
      </c>
      <c r="E83" s="561" t="s">
        <v>402</v>
      </c>
      <c r="F83" s="499"/>
    </row>
    <row r="84" spans="1:6">
      <c r="A84" s="421"/>
      <c r="B84" s="422"/>
      <c r="C84" s="423"/>
      <c r="D84" s="554" t="s">
        <v>479</v>
      </c>
      <c r="E84" s="562"/>
      <c r="F84" s="499"/>
    </row>
    <row r="85" spans="1:6">
      <c r="A85" s="421"/>
      <c r="B85" s="422"/>
      <c r="C85" s="423"/>
      <c r="D85" s="554" t="s">
        <v>480</v>
      </c>
      <c r="E85" s="562"/>
      <c r="F85" s="499"/>
    </row>
    <row r="86" spans="1:6" ht="8.25" customHeight="1">
      <c r="A86" s="421"/>
      <c r="B86" s="422"/>
      <c r="C86" s="423"/>
      <c r="D86" s="554"/>
      <c r="E86" s="562"/>
      <c r="F86" s="499"/>
    </row>
    <row r="87" spans="1:6">
      <c r="A87" s="421"/>
      <c r="B87" s="422"/>
      <c r="C87" s="423"/>
      <c r="D87" s="557" t="s">
        <v>406</v>
      </c>
      <c r="E87" s="562"/>
      <c r="F87" s="499"/>
    </row>
    <row r="88" spans="1:6">
      <c r="A88" s="421"/>
      <c r="B88" s="422"/>
      <c r="C88" s="423"/>
      <c r="D88" s="554" t="s">
        <v>481</v>
      </c>
      <c r="E88" s="562"/>
      <c r="F88" s="499"/>
    </row>
    <row r="89" spans="1:6">
      <c r="A89" s="421"/>
      <c r="B89" s="422"/>
      <c r="C89" s="423"/>
      <c r="D89" s="554" t="s">
        <v>484</v>
      </c>
      <c r="E89" s="562"/>
      <c r="F89" s="499"/>
    </row>
    <row r="90" spans="1:6">
      <c r="A90" s="421"/>
      <c r="B90" s="422"/>
      <c r="C90" s="423"/>
      <c r="D90" s="554" t="s">
        <v>482</v>
      </c>
      <c r="E90" s="562"/>
      <c r="F90" s="499"/>
    </row>
    <row r="91" spans="1:6">
      <c r="A91" s="421"/>
      <c r="B91" s="422"/>
      <c r="C91" s="423"/>
      <c r="D91" s="554" t="s">
        <v>483</v>
      </c>
      <c r="E91" s="562"/>
      <c r="F91" s="499"/>
    </row>
    <row r="92" spans="1:6">
      <c r="A92" s="421"/>
      <c r="B92" s="422"/>
      <c r="C92" s="423"/>
      <c r="D92" s="554" t="s">
        <v>485</v>
      </c>
      <c r="E92" s="562"/>
      <c r="F92" s="499"/>
    </row>
    <row r="93" spans="1:6">
      <c r="A93" s="421"/>
      <c r="B93" s="422"/>
      <c r="C93" s="423"/>
      <c r="D93" s="554" t="s">
        <v>486</v>
      </c>
      <c r="E93" s="562"/>
      <c r="F93" s="499"/>
    </row>
    <row r="94" spans="1:6" ht="15.75" thickBot="1">
      <c r="A94" s="413"/>
      <c r="B94" s="424"/>
      <c r="C94" s="391"/>
      <c r="D94" s="560"/>
      <c r="E94" s="563"/>
      <c r="F94" s="425"/>
    </row>
    <row r="96" spans="1:6">
      <c r="A96" s="565" t="s">
        <v>464</v>
      </c>
      <c r="B96" s="609" t="s">
        <v>476</v>
      </c>
      <c r="C96" s="609"/>
      <c r="D96" s="609"/>
    </row>
    <row r="97" spans="1:4">
      <c r="A97" s="565" t="s">
        <v>466</v>
      </c>
      <c r="B97" s="609" t="s">
        <v>477</v>
      </c>
      <c r="C97" s="609"/>
      <c r="D97" s="609"/>
    </row>
    <row r="98" spans="1:4">
      <c r="A98" s="565" t="s">
        <v>467</v>
      </c>
      <c r="B98" s="609" t="s">
        <v>478</v>
      </c>
      <c r="C98" s="609"/>
      <c r="D98" s="609"/>
    </row>
    <row r="99" spans="1:4">
      <c r="A99" s="426"/>
    </row>
    <row r="100" spans="1:4">
      <c r="A100" s="427"/>
    </row>
    <row r="101" spans="1:4">
      <c r="A101" s="428"/>
    </row>
  </sheetData>
  <mergeCells count="27">
    <mergeCell ref="B96:D96"/>
    <mergeCell ref="B97:D97"/>
    <mergeCell ref="B98:D98"/>
    <mergeCell ref="D12:E12"/>
    <mergeCell ref="D15:E15"/>
    <mergeCell ref="D19:E19"/>
    <mergeCell ref="D21:E21"/>
    <mergeCell ref="D14:E14"/>
    <mergeCell ref="D13:E13"/>
    <mergeCell ref="D18:E18"/>
    <mergeCell ref="D16:E16"/>
    <mergeCell ref="D17:E17"/>
    <mergeCell ref="D20:E20"/>
    <mergeCell ref="D22:E22"/>
    <mergeCell ref="E51:E53"/>
    <mergeCell ref="A5:F5"/>
    <mergeCell ref="D7:E8"/>
    <mergeCell ref="D9:E9"/>
    <mergeCell ref="D10:E10"/>
    <mergeCell ref="D11:E11"/>
    <mergeCell ref="F51:F53"/>
    <mergeCell ref="D23:E23"/>
    <mergeCell ref="D24:E24"/>
    <mergeCell ref="B26:E26"/>
    <mergeCell ref="B27:D27"/>
    <mergeCell ref="B28:D28"/>
    <mergeCell ref="B29:D29"/>
  </mergeCells>
  <pageMargins left="0.70866141732283472" right="0.70866141732283472" top="0.74803149606299213" bottom="0.55118110236220474" header="0.31496062992125984" footer="0.31496062992125984"/>
  <pageSetup paperSize="9" scale="84" orientation="portrait" r:id="rId1"/>
  <headerFooter>
    <oddHeader>&amp;RZałącznik Nr 6
do Uchwały Nr II/..../2024 
Rady Gminy Komorniki z dnia 22 maja 2024r.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EB03F-A9D6-46FB-9513-685FEF49250D}">
  <dimension ref="A3:H58"/>
  <sheetViews>
    <sheetView topLeftCell="A13" workbookViewId="0">
      <selection activeCell="F44" sqref="F44"/>
    </sheetView>
  </sheetViews>
  <sheetFormatPr defaultRowHeight="15"/>
  <cols>
    <col min="1" max="1" width="6" customWidth="1"/>
    <col min="2" max="2" width="7.28515625" customWidth="1"/>
    <col min="3" max="3" width="6.42578125" customWidth="1"/>
    <col min="4" max="4" width="58.5703125" customWidth="1"/>
    <col min="5" max="5" width="14.5703125" customWidth="1"/>
    <col min="6" max="6" width="13.42578125" customWidth="1"/>
    <col min="7" max="7" width="12.85546875" customWidth="1"/>
    <col min="8" max="8" width="14.42578125" customWidth="1"/>
  </cols>
  <sheetData>
    <row r="3" spans="1:8" ht="15.75">
      <c r="A3" s="621" t="s">
        <v>409</v>
      </c>
      <c r="B3" s="621"/>
      <c r="C3" s="621"/>
      <c r="D3" s="621"/>
      <c r="E3" s="621"/>
      <c r="F3" s="567"/>
      <c r="G3" s="567"/>
      <c r="H3" s="567"/>
    </row>
    <row r="4" spans="1:8" ht="15.75">
      <c r="A4" s="621" t="s">
        <v>410</v>
      </c>
      <c r="B4" s="622"/>
      <c r="C4" s="622"/>
      <c r="D4" s="622"/>
      <c r="E4" s="622"/>
      <c r="F4" s="567"/>
      <c r="G4" s="567"/>
      <c r="H4" s="567"/>
    </row>
    <row r="5" spans="1:8" ht="15.75">
      <c r="A5" s="623" t="s">
        <v>219</v>
      </c>
      <c r="B5" s="624"/>
      <c r="C5" s="624"/>
      <c r="D5" s="624"/>
      <c r="E5" s="624"/>
      <c r="F5" s="624"/>
      <c r="G5" s="624"/>
      <c r="H5" s="624"/>
    </row>
    <row r="6" spans="1:8" ht="5.25" customHeight="1">
      <c r="A6" s="429"/>
      <c r="B6" s="429"/>
      <c r="C6" s="429"/>
      <c r="D6" s="348"/>
      <c r="E6" s="429"/>
    </row>
    <row r="7" spans="1:8" ht="15.75">
      <c r="A7" s="430" t="s">
        <v>216</v>
      </c>
      <c r="B7" s="431"/>
      <c r="C7" s="431"/>
      <c r="D7" s="432"/>
      <c r="E7" s="431"/>
      <c r="F7" s="431"/>
      <c r="G7" s="431"/>
      <c r="H7" s="431"/>
    </row>
    <row r="8" spans="1:8" ht="46.5">
      <c r="A8" s="433" t="s">
        <v>0</v>
      </c>
      <c r="B8" s="434" t="s">
        <v>1</v>
      </c>
      <c r="C8" s="435" t="s">
        <v>2</v>
      </c>
      <c r="D8" s="435" t="s">
        <v>3</v>
      </c>
      <c r="E8" s="435" t="s">
        <v>4</v>
      </c>
      <c r="F8" s="436" t="s">
        <v>326</v>
      </c>
      <c r="G8" s="436" t="s">
        <v>327</v>
      </c>
      <c r="H8" s="436" t="s">
        <v>328</v>
      </c>
    </row>
    <row r="9" spans="1:8" ht="15.75">
      <c r="A9" s="437">
        <v>1</v>
      </c>
      <c r="B9" s="438">
        <v>2</v>
      </c>
      <c r="C9" s="438">
        <v>3</v>
      </c>
      <c r="D9" s="438">
        <v>4</v>
      </c>
      <c r="E9" s="438">
        <v>5</v>
      </c>
      <c r="F9" s="38">
        <v>6</v>
      </c>
      <c r="G9" s="38">
        <v>7</v>
      </c>
      <c r="H9" s="38">
        <v>8</v>
      </c>
    </row>
    <row r="10" spans="1:8" ht="15.75" hidden="1" customHeight="1">
      <c r="A10" s="439"/>
      <c r="B10" s="435"/>
      <c r="C10" s="435"/>
      <c r="D10" s="435"/>
      <c r="E10" s="435"/>
    </row>
    <row r="11" spans="1:8" ht="15.75">
      <c r="A11" s="9">
        <v>600</v>
      </c>
      <c r="B11" s="10"/>
      <c r="C11" s="11"/>
      <c r="D11" s="12" t="s">
        <v>12</v>
      </c>
      <c r="E11" s="13">
        <f>E12</f>
        <v>3000000</v>
      </c>
      <c r="F11" s="13">
        <f t="shared" ref="F11:H11" si="0">F12</f>
        <v>0</v>
      </c>
      <c r="G11" s="13">
        <f t="shared" si="0"/>
        <v>0</v>
      </c>
      <c r="H11" s="13">
        <f t="shared" si="0"/>
        <v>3000000</v>
      </c>
    </row>
    <row r="12" spans="1:8" ht="15.75">
      <c r="A12" s="9"/>
      <c r="B12" s="10">
        <v>60016</v>
      </c>
      <c r="C12" s="11"/>
      <c r="D12" s="12" t="s">
        <v>16</v>
      </c>
      <c r="E12" s="13">
        <f>SUM(E13:E13)</f>
        <v>3000000</v>
      </c>
      <c r="F12" s="13"/>
      <c r="G12" s="13"/>
      <c r="H12" s="13">
        <f t="shared" ref="H12" si="1">SUM(H13:H13)</f>
        <v>3000000</v>
      </c>
    </row>
    <row r="13" spans="1:8" ht="34.5" customHeight="1">
      <c r="A13" s="9"/>
      <c r="B13" s="10"/>
      <c r="C13" s="11">
        <v>6370</v>
      </c>
      <c r="D13" s="12" t="s">
        <v>187</v>
      </c>
      <c r="E13" s="13">
        <v>3000000</v>
      </c>
      <c r="F13" s="13"/>
      <c r="G13" s="13"/>
      <c r="H13" s="13">
        <f>E13+F13-G13</f>
        <v>3000000</v>
      </c>
    </row>
    <row r="14" spans="1:8" ht="15.75">
      <c r="A14" s="9">
        <v>801</v>
      </c>
      <c r="B14" s="10"/>
      <c r="C14" s="11"/>
      <c r="D14" s="12" t="s">
        <v>58</v>
      </c>
      <c r="E14" s="13">
        <f>E15</f>
        <v>3000000</v>
      </c>
      <c r="F14" s="13">
        <f t="shared" ref="F14:H15" si="2">F15</f>
        <v>0</v>
      </c>
      <c r="G14" s="13">
        <f t="shared" si="2"/>
        <v>0</v>
      </c>
      <c r="H14" s="13">
        <f t="shared" si="2"/>
        <v>3000000</v>
      </c>
    </row>
    <row r="15" spans="1:8" ht="15.75">
      <c r="A15" s="9"/>
      <c r="B15" s="10">
        <v>80101</v>
      </c>
      <c r="C15" s="11"/>
      <c r="D15" s="12" t="s">
        <v>59</v>
      </c>
      <c r="E15" s="13">
        <f>E16</f>
        <v>3000000</v>
      </c>
      <c r="F15" s="13">
        <f t="shared" si="2"/>
        <v>0</v>
      </c>
      <c r="G15" s="13">
        <f t="shared" si="2"/>
        <v>0</v>
      </c>
      <c r="H15" s="13">
        <f t="shared" si="2"/>
        <v>3000000</v>
      </c>
    </row>
    <row r="16" spans="1:8" ht="33.75" customHeight="1">
      <c r="A16" s="9"/>
      <c r="B16" s="10"/>
      <c r="C16" s="11">
        <v>6370</v>
      </c>
      <c r="D16" s="12" t="s">
        <v>187</v>
      </c>
      <c r="E16" s="13">
        <v>3000000</v>
      </c>
      <c r="F16" s="13"/>
      <c r="G16" s="13"/>
      <c r="H16" s="13">
        <f>E16+F16-G16</f>
        <v>3000000</v>
      </c>
    </row>
    <row r="17" spans="1:8" ht="15.75">
      <c r="A17" s="9">
        <v>853</v>
      </c>
      <c r="B17" s="10"/>
      <c r="C17" s="11"/>
      <c r="D17" s="12" t="s">
        <v>77</v>
      </c>
      <c r="E17" s="13">
        <f>E18</f>
        <v>34142.019999999997</v>
      </c>
      <c r="F17" s="13">
        <f t="shared" ref="F17:H18" si="3">F18</f>
        <v>0</v>
      </c>
      <c r="G17" s="13">
        <f t="shared" si="3"/>
        <v>0</v>
      </c>
      <c r="H17" s="13">
        <f t="shared" si="3"/>
        <v>34142.019999999997</v>
      </c>
    </row>
    <row r="18" spans="1:8" ht="15.75">
      <c r="A18" s="9"/>
      <c r="B18" s="10">
        <v>85395</v>
      </c>
      <c r="C18" s="11"/>
      <c r="D18" s="12" t="s">
        <v>8</v>
      </c>
      <c r="E18" s="13">
        <f>E19</f>
        <v>34142.019999999997</v>
      </c>
      <c r="F18" s="13">
        <f t="shared" si="3"/>
        <v>0</v>
      </c>
      <c r="G18" s="13">
        <f t="shared" si="3"/>
        <v>0</v>
      </c>
      <c r="H18" s="13">
        <f t="shared" si="3"/>
        <v>34142.019999999997</v>
      </c>
    </row>
    <row r="19" spans="1:8" ht="47.25">
      <c r="A19" s="9"/>
      <c r="B19" s="10"/>
      <c r="C19" s="11">
        <v>2180</v>
      </c>
      <c r="D19" s="12" t="s">
        <v>339</v>
      </c>
      <c r="E19" s="13">
        <f>4468.99+29673.03</f>
        <v>34142.019999999997</v>
      </c>
      <c r="F19" s="13"/>
      <c r="G19" s="13"/>
      <c r="H19" s="13">
        <f>E19+F19-G19</f>
        <v>34142.019999999997</v>
      </c>
    </row>
    <row r="20" spans="1:8" ht="15.75">
      <c r="A20" s="9">
        <v>900</v>
      </c>
      <c r="B20" s="10"/>
      <c r="C20" s="11"/>
      <c r="D20" s="12" t="s">
        <v>84</v>
      </c>
      <c r="E20" s="13">
        <f>E21</f>
        <v>0</v>
      </c>
      <c r="F20" s="13">
        <f t="shared" ref="F20:H20" si="4">F21</f>
        <v>1343680</v>
      </c>
      <c r="G20" s="13">
        <f t="shared" si="4"/>
        <v>0</v>
      </c>
      <c r="H20" s="13">
        <f t="shared" si="4"/>
        <v>1343680</v>
      </c>
    </row>
    <row r="21" spans="1:8" ht="15.75">
      <c r="A21" s="9"/>
      <c r="B21" s="10">
        <v>90015</v>
      </c>
      <c r="C21" s="11"/>
      <c r="D21" s="12" t="s">
        <v>172</v>
      </c>
      <c r="E21" s="13">
        <f>E22</f>
        <v>0</v>
      </c>
      <c r="F21" s="13">
        <f t="shared" ref="F21:H21" si="5">F22</f>
        <v>1343680</v>
      </c>
      <c r="G21" s="13">
        <f t="shared" si="5"/>
        <v>0</v>
      </c>
      <c r="H21" s="13">
        <f t="shared" si="5"/>
        <v>1343680</v>
      </c>
    </row>
    <row r="22" spans="1:8" ht="32.25" customHeight="1">
      <c r="A22" s="9"/>
      <c r="B22" s="10"/>
      <c r="C22" s="11">
        <v>6370</v>
      </c>
      <c r="D22" s="12" t="s">
        <v>187</v>
      </c>
      <c r="E22" s="13"/>
      <c r="F22" s="13">
        <v>1343680</v>
      </c>
      <c r="G22" s="13"/>
      <c r="H22" s="13">
        <f>E22+F22-G22</f>
        <v>1343680</v>
      </c>
    </row>
    <row r="23" spans="1:8" ht="15.75">
      <c r="A23" s="9">
        <v>921</v>
      </c>
      <c r="B23" s="10"/>
      <c r="C23" s="11"/>
      <c r="D23" s="12" t="s">
        <v>175</v>
      </c>
      <c r="E23" s="13">
        <f>E26+E24</f>
        <v>4842800</v>
      </c>
      <c r="F23" s="13">
        <f t="shared" ref="F23:H23" si="6">F26+F24</f>
        <v>0</v>
      </c>
      <c r="G23" s="13">
        <f t="shared" si="6"/>
        <v>0</v>
      </c>
      <c r="H23" s="13">
        <f t="shared" si="6"/>
        <v>4842800</v>
      </c>
    </row>
    <row r="24" spans="1:8" ht="15.75">
      <c r="A24" s="9"/>
      <c r="B24" s="10">
        <v>92109</v>
      </c>
      <c r="C24" s="11"/>
      <c r="D24" s="12" t="s">
        <v>177</v>
      </c>
      <c r="E24" s="13">
        <f>SUM(E25:E25)</f>
        <v>1000000</v>
      </c>
      <c r="F24" s="13">
        <f t="shared" ref="F24:H24" si="7">SUM(F25:F25)</f>
        <v>0</v>
      </c>
      <c r="G24" s="13">
        <f t="shared" si="7"/>
        <v>0</v>
      </c>
      <c r="H24" s="13">
        <f t="shared" si="7"/>
        <v>1000000</v>
      </c>
    </row>
    <row r="25" spans="1:8" ht="30" customHeight="1">
      <c r="A25" s="9"/>
      <c r="B25" s="10"/>
      <c r="C25" s="11">
        <v>6370</v>
      </c>
      <c r="D25" s="12" t="s">
        <v>187</v>
      </c>
      <c r="E25" s="13">
        <v>1000000</v>
      </c>
      <c r="F25" s="13"/>
      <c r="G25" s="13"/>
      <c r="H25" s="13">
        <f>E25+F25-G25</f>
        <v>1000000</v>
      </c>
    </row>
    <row r="26" spans="1:8" ht="15.75">
      <c r="A26" s="9"/>
      <c r="B26" s="45">
        <v>92120</v>
      </c>
      <c r="C26" s="46"/>
      <c r="D26" s="12" t="s">
        <v>180</v>
      </c>
      <c r="E26" s="13">
        <f>SUM(E27:E28)</f>
        <v>3842800</v>
      </c>
      <c r="F26" s="13">
        <f t="shared" ref="F26:H26" si="8">SUM(F27:F28)</f>
        <v>0</v>
      </c>
      <c r="G26" s="13">
        <f t="shared" si="8"/>
        <v>0</v>
      </c>
      <c r="H26" s="13">
        <f t="shared" si="8"/>
        <v>3842800</v>
      </c>
    </row>
    <row r="27" spans="1:8" ht="50.25" customHeight="1">
      <c r="A27" s="9"/>
      <c r="B27" s="10"/>
      <c r="C27" s="11">
        <v>6090</v>
      </c>
      <c r="D27" s="12" t="s">
        <v>220</v>
      </c>
      <c r="E27" s="13">
        <v>842800</v>
      </c>
      <c r="F27" s="13"/>
      <c r="G27" s="13"/>
      <c r="H27" s="13">
        <f>E27+F27-G27</f>
        <v>842800</v>
      </c>
    </row>
    <row r="28" spans="1:8" ht="30" customHeight="1">
      <c r="A28" s="9"/>
      <c r="B28" s="10"/>
      <c r="C28" s="11">
        <v>6370</v>
      </c>
      <c r="D28" s="12" t="s">
        <v>187</v>
      </c>
      <c r="E28" s="13">
        <v>3000000</v>
      </c>
      <c r="F28" s="13"/>
      <c r="G28" s="13"/>
      <c r="H28" s="13">
        <f>E28+F28-G28</f>
        <v>3000000</v>
      </c>
    </row>
    <row r="29" spans="1:8" ht="15.75">
      <c r="A29" s="9"/>
      <c r="B29" s="10"/>
      <c r="C29" s="11"/>
      <c r="D29" s="12" t="s">
        <v>91</v>
      </c>
      <c r="E29" s="13">
        <f>E11+E23+E14+E17+E20</f>
        <v>10876942.02</v>
      </c>
      <c r="F29" s="13">
        <f t="shared" ref="F29:H29" si="9">F11+F23+F14+F17+F20</f>
        <v>1343680</v>
      </c>
      <c r="G29" s="13">
        <f t="shared" si="9"/>
        <v>0</v>
      </c>
      <c r="H29" s="13">
        <f t="shared" si="9"/>
        <v>12220622.02</v>
      </c>
    </row>
    <row r="30" spans="1:8" ht="15.75">
      <c r="A30" s="440"/>
      <c r="B30" s="441"/>
      <c r="C30" s="442"/>
      <c r="D30" s="443"/>
      <c r="E30" s="444"/>
    </row>
    <row r="31" spans="1:8" ht="15.75">
      <c r="A31" s="440"/>
      <c r="B31" s="441"/>
      <c r="C31" s="442"/>
      <c r="D31" s="443"/>
      <c r="E31" s="444"/>
    </row>
    <row r="32" spans="1:8" ht="15.75" customHeight="1">
      <c r="A32" s="445"/>
      <c r="B32" s="445"/>
      <c r="C32" s="445"/>
      <c r="D32" s="445"/>
      <c r="E32" s="445"/>
    </row>
    <row r="33" spans="1:8" ht="15.75" customHeight="1">
      <c r="A33" s="446" t="s">
        <v>217</v>
      </c>
      <c r="B33" s="446"/>
      <c r="C33" s="446"/>
      <c r="D33" s="447"/>
      <c r="E33" s="446"/>
      <c r="F33" s="446"/>
      <c r="G33" s="446"/>
      <c r="H33" s="446"/>
    </row>
    <row r="34" spans="1:8" ht="46.5">
      <c r="A34" s="433" t="s">
        <v>0</v>
      </c>
      <c r="B34" s="434" t="s">
        <v>1</v>
      </c>
      <c r="C34" s="435" t="s">
        <v>2</v>
      </c>
      <c r="D34" s="435" t="s">
        <v>3</v>
      </c>
      <c r="E34" s="435" t="s">
        <v>4</v>
      </c>
      <c r="F34" s="436" t="s">
        <v>326</v>
      </c>
      <c r="G34" s="436" t="s">
        <v>327</v>
      </c>
      <c r="H34" s="436" t="s">
        <v>328</v>
      </c>
    </row>
    <row r="35" spans="1:8" ht="15.75">
      <c r="A35" s="437">
        <v>1</v>
      </c>
      <c r="B35" s="438">
        <v>2</v>
      </c>
      <c r="C35" s="438">
        <v>3</v>
      </c>
      <c r="D35" s="438">
        <v>4</v>
      </c>
      <c r="E35" s="438">
        <v>5</v>
      </c>
      <c r="F35" s="38">
        <v>6</v>
      </c>
      <c r="G35" s="38">
        <v>7</v>
      </c>
      <c r="H35" s="38">
        <v>8</v>
      </c>
    </row>
    <row r="36" spans="1:8" ht="15.75">
      <c r="A36" s="439"/>
      <c r="B36" s="435"/>
      <c r="C36" s="435"/>
      <c r="D36" s="435"/>
      <c r="E36" s="435"/>
    </row>
    <row r="37" spans="1:8" ht="15.75">
      <c r="A37" s="9">
        <v>600</v>
      </c>
      <c r="B37" s="10"/>
      <c r="C37" s="11"/>
      <c r="D37" s="12" t="s">
        <v>12</v>
      </c>
      <c r="E37" s="13">
        <f>E38</f>
        <v>3000000</v>
      </c>
      <c r="F37" s="13">
        <f t="shared" ref="F37:H37" si="10">F38</f>
        <v>0</v>
      </c>
      <c r="G37" s="13">
        <f t="shared" si="10"/>
        <v>0</v>
      </c>
      <c r="H37" s="13">
        <f t="shared" si="10"/>
        <v>3000000</v>
      </c>
    </row>
    <row r="38" spans="1:8" ht="15.75">
      <c r="A38" s="9"/>
      <c r="B38" s="10">
        <v>60016</v>
      </c>
      <c r="C38" s="11"/>
      <c r="D38" s="12" t="s">
        <v>16</v>
      </c>
      <c r="E38" s="13">
        <f>SUM(E39:E39)</f>
        <v>3000000</v>
      </c>
      <c r="F38" s="13">
        <f t="shared" ref="F38:H38" si="11">SUM(F39:F39)</f>
        <v>0</v>
      </c>
      <c r="G38" s="13">
        <f t="shared" si="11"/>
        <v>0</v>
      </c>
      <c r="H38" s="13">
        <f t="shared" si="11"/>
        <v>3000000</v>
      </c>
    </row>
    <row r="39" spans="1:8" ht="47.25">
      <c r="A39" s="9"/>
      <c r="B39" s="10"/>
      <c r="C39" s="11">
        <v>6370</v>
      </c>
      <c r="D39" s="12" t="s">
        <v>218</v>
      </c>
      <c r="E39" s="13">
        <v>3000000</v>
      </c>
      <c r="F39" s="13"/>
      <c r="G39" s="13"/>
      <c r="H39" s="13">
        <f>E39+F39-G39</f>
        <v>3000000</v>
      </c>
    </row>
    <row r="40" spans="1:8" ht="15.75">
      <c r="A40" s="9">
        <v>801</v>
      </c>
      <c r="B40" s="10"/>
      <c r="C40" s="11"/>
      <c r="D40" s="12" t="s">
        <v>58</v>
      </c>
      <c r="E40" s="13">
        <f>E41</f>
        <v>3000000</v>
      </c>
      <c r="F40" s="13">
        <f t="shared" ref="F40:H41" si="12">F41</f>
        <v>0</v>
      </c>
      <c r="G40" s="13">
        <f t="shared" si="12"/>
        <v>0</v>
      </c>
      <c r="H40" s="13">
        <f t="shared" si="12"/>
        <v>3000000</v>
      </c>
    </row>
    <row r="41" spans="1:8" ht="15.75">
      <c r="A41" s="9"/>
      <c r="B41" s="10">
        <v>80101</v>
      </c>
      <c r="C41" s="11"/>
      <c r="D41" s="12" t="s">
        <v>59</v>
      </c>
      <c r="E41" s="13">
        <f>E42</f>
        <v>3000000</v>
      </c>
      <c r="F41" s="13">
        <f t="shared" si="12"/>
        <v>0</v>
      </c>
      <c r="G41" s="13">
        <f t="shared" si="12"/>
        <v>0</v>
      </c>
      <c r="H41" s="13">
        <f t="shared" si="12"/>
        <v>3000000</v>
      </c>
    </row>
    <row r="42" spans="1:8" ht="47.25">
      <c r="A42" s="9"/>
      <c r="B42" s="10"/>
      <c r="C42" s="11">
        <v>6370</v>
      </c>
      <c r="D42" s="12" t="s">
        <v>218</v>
      </c>
      <c r="E42" s="13">
        <v>3000000</v>
      </c>
      <c r="F42" s="13"/>
      <c r="G42" s="13"/>
      <c r="H42" s="13">
        <f>E42+F42-G42</f>
        <v>3000000</v>
      </c>
    </row>
    <row r="43" spans="1:8" ht="15.75">
      <c r="A43" s="9">
        <v>853</v>
      </c>
      <c r="B43" s="10"/>
      <c r="C43" s="11"/>
      <c r="D43" s="12" t="s">
        <v>77</v>
      </c>
      <c r="E43" s="13">
        <f>E44</f>
        <v>34142.020000000004</v>
      </c>
      <c r="F43" s="13">
        <f t="shared" ref="F43:H43" si="13">F44</f>
        <v>0</v>
      </c>
      <c r="G43" s="13">
        <f t="shared" si="13"/>
        <v>0</v>
      </c>
      <c r="H43" s="13">
        <f t="shared" si="13"/>
        <v>34142.020000000004</v>
      </c>
    </row>
    <row r="44" spans="1:8" ht="15.75">
      <c r="A44" s="9"/>
      <c r="B44" s="10">
        <v>85395</v>
      </c>
      <c r="C44" s="11"/>
      <c r="D44" s="12" t="s">
        <v>8</v>
      </c>
      <c r="E44" s="13">
        <f>SUM(E45:E46)</f>
        <v>34142.020000000004</v>
      </c>
      <c r="F44" s="13">
        <f t="shared" ref="F44:H44" si="14">SUM(F45:F46)</f>
        <v>0</v>
      </c>
      <c r="G44" s="13">
        <f t="shared" si="14"/>
        <v>0</v>
      </c>
      <c r="H44" s="13">
        <f t="shared" si="14"/>
        <v>34142.020000000004</v>
      </c>
    </row>
    <row r="45" spans="1:8" ht="15.75">
      <c r="A45" s="9"/>
      <c r="B45" s="10"/>
      <c r="C45" s="11">
        <v>3110</v>
      </c>
      <c r="D45" s="12" t="s">
        <v>161</v>
      </c>
      <c r="E45" s="13">
        <f>4381.37+29091.21</f>
        <v>33472.58</v>
      </c>
      <c r="F45" s="13"/>
      <c r="G45" s="13"/>
      <c r="H45" s="13">
        <f>E45+F45-G45</f>
        <v>33472.58</v>
      </c>
    </row>
    <row r="46" spans="1:8" ht="15.75">
      <c r="A46" s="9"/>
      <c r="B46" s="10"/>
      <c r="C46" s="11">
        <v>4210</v>
      </c>
      <c r="D46" s="12" t="s">
        <v>102</v>
      </c>
      <c r="E46" s="13">
        <f>87.62+581.82</f>
        <v>669.44</v>
      </c>
      <c r="F46" s="13"/>
      <c r="G46" s="13"/>
      <c r="H46" s="13">
        <f>E46+F46-G46</f>
        <v>669.44</v>
      </c>
    </row>
    <row r="47" spans="1:8" ht="15.75">
      <c r="A47" s="9">
        <v>900</v>
      </c>
      <c r="B47" s="10"/>
      <c r="C47" s="11"/>
      <c r="D47" s="12" t="s">
        <v>84</v>
      </c>
      <c r="E47" s="13">
        <f>E48</f>
        <v>0</v>
      </c>
      <c r="F47" s="13">
        <f t="shared" ref="F47:H48" si="15">F48</f>
        <v>1343680</v>
      </c>
      <c r="G47" s="13">
        <f t="shared" ref="G47" si="16">G48</f>
        <v>0</v>
      </c>
      <c r="H47" s="13">
        <f t="shared" ref="H47" si="17">H48</f>
        <v>1343680</v>
      </c>
    </row>
    <row r="48" spans="1:8" ht="15.75">
      <c r="A48" s="9"/>
      <c r="B48" s="10">
        <v>90015</v>
      </c>
      <c r="C48" s="11"/>
      <c r="D48" s="12" t="s">
        <v>172</v>
      </c>
      <c r="E48" s="13">
        <f>E49</f>
        <v>0</v>
      </c>
      <c r="F48" s="13">
        <f t="shared" si="15"/>
        <v>1343680</v>
      </c>
      <c r="G48" s="13">
        <f t="shared" si="15"/>
        <v>0</v>
      </c>
      <c r="H48" s="13">
        <f t="shared" si="15"/>
        <v>1343680</v>
      </c>
    </row>
    <row r="49" spans="1:8" ht="47.25">
      <c r="A49" s="9"/>
      <c r="B49" s="10"/>
      <c r="C49" s="11">
        <v>6370</v>
      </c>
      <c r="D49" s="12" t="s">
        <v>187</v>
      </c>
      <c r="E49" s="13"/>
      <c r="F49" s="13">
        <v>1343680</v>
      </c>
      <c r="G49" s="13"/>
      <c r="H49" s="13">
        <f>E49+F49-G49</f>
        <v>1343680</v>
      </c>
    </row>
    <row r="50" spans="1:8" ht="15.75">
      <c r="A50" s="9">
        <v>921</v>
      </c>
      <c r="B50" s="10"/>
      <c r="C50" s="11"/>
      <c r="D50" s="12" t="s">
        <v>175</v>
      </c>
      <c r="E50" s="13">
        <f>E53+E51</f>
        <v>4842800</v>
      </c>
      <c r="F50" s="13">
        <f t="shared" ref="F50:H50" si="18">F53+F51</f>
        <v>0.65</v>
      </c>
      <c r="G50" s="13">
        <f t="shared" si="18"/>
        <v>0</v>
      </c>
      <c r="H50" s="13">
        <f t="shared" si="18"/>
        <v>4842800.6500000004</v>
      </c>
    </row>
    <row r="51" spans="1:8" ht="15.75">
      <c r="A51" s="9"/>
      <c r="B51" s="10">
        <v>92109</v>
      </c>
      <c r="C51" s="11"/>
      <c r="D51" s="12" t="s">
        <v>177</v>
      </c>
      <c r="E51" s="13">
        <f>SUM(E52:E52)</f>
        <v>1000000</v>
      </c>
      <c r="F51" s="13">
        <f t="shared" ref="F51:H51" si="19">SUM(F52:F52)</f>
        <v>0.65</v>
      </c>
      <c r="G51" s="13">
        <f t="shared" si="19"/>
        <v>0</v>
      </c>
      <c r="H51" s="13">
        <f t="shared" si="19"/>
        <v>1000000.65</v>
      </c>
    </row>
    <row r="52" spans="1:8" ht="47.25">
      <c r="A52" s="9"/>
      <c r="B52" s="10"/>
      <c r="C52" s="11">
        <v>6370</v>
      </c>
      <c r="D52" s="12" t="s">
        <v>218</v>
      </c>
      <c r="E52" s="13">
        <v>1000000</v>
      </c>
      <c r="F52" s="13">
        <v>0.65</v>
      </c>
      <c r="G52" s="13"/>
      <c r="H52" s="13">
        <f>E52+F52-G52</f>
        <v>1000000.65</v>
      </c>
    </row>
    <row r="53" spans="1:8" ht="15.75">
      <c r="A53" s="9"/>
      <c r="B53" s="45">
        <v>92120</v>
      </c>
      <c r="C53" s="46"/>
      <c r="D53" s="12" t="s">
        <v>180</v>
      </c>
      <c r="E53" s="13">
        <f>SUM(E54:E55)</f>
        <v>3842800</v>
      </c>
      <c r="F53" s="13">
        <f t="shared" ref="F53:H53" si="20">SUM(F54:F55)</f>
        <v>0</v>
      </c>
      <c r="G53" s="13">
        <f t="shared" si="20"/>
        <v>0</v>
      </c>
      <c r="H53" s="13">
        <f t="shared" si="20"/>
        <v>3842800</v>
      </c>
    </row>
    <row r="54" spans="1:8" ht="63">
      <c r="A54" s="9"/>
      <c r="B54" s="10"/>
      <c r="C54" s="89">
        <v>6570</v>
      </c>
      <c r="D54" s="90" t="s">
        <v>221</v>
      </c>
      <c r="E54" s="13">
        <v>842800</v>
      </c>
      <c r="F54" s="13"/>
      <c r="G54" s="13"/>
      <c r="H54" s="13">
        <f>E54+F54-G54</f>
        <v>842800</v>
      </c>
    </row>
    <row r="55" spans="1:8" ht="47.25">
      <c r="A55" s="9"/>
      <c r="B55" s="10"/>
      <c r="C55" s="11">
        <v>6370</v>
      </c>
      <c r="D55" s="12" t="s">
        <v>218</v>
      </c>
      <c r="E55" s="13">
        <v>3000000</v>
      </c>
      <c r="F55" s="13"/>
      <c r="G55" s="13"/>
      <c r="H55" s="13">
        <f>E55+F55-G55</f>
        <v>3000000</v>
      </c>
    </row>
    <row r="56" spans="1:8" ht="15.75">
      <c r="A56" s="9"/>
      <c r="B56" s="10"/>
      <c r="C56" s="11"/>
      <c r="D56" s="12" t="s">
        <v>91</v>
      </c>
      <c r="E56" s="13">
        <f>E37+E50+E40+E43+E47</f>
        <v>10876942.02</v>
      </c>
      <c r="F56" s="13">
        <f t="shared" ref="F56:H56" si="21">F37+F50+F40+F43+F47</f>
        <v>1343680.65</v>
      </c>
      <c r="G56" s="13">
        <f t="shared" si="21"/>
        <v>0</v>
      </c>
      <c r="H56" s="13">
        <f t="shared" si="21"/>
        <v>12220622.67</v>
      </c>
    </row>
    <row r="58" spans="1:8">
      <c r="A58" s="495" t="s">
        <v>433</v>
      </c>
    </row>
  </sheetData>
  <mergeCells count="3">
    <mergeCell ref="A3:H3"/>
    <mergeCell ref="A4:H4"/>
    <mergeCell ref="A5:H5"/>
  </mergeCells>
  <conditionalFormatting sqref="A22:E33">
    <cfRule type="expression" dxfId="41" priority="19" stopIfTrue="1">
      <formula>$D22 = "OGÓŁEM:"</formula>
    </cfRule>
    <cfRule type="expression" dxfId="40" priority="20" stopIfTrue="1">
      <formula>LEN($A22)&gt;1</formula>
    </cfRule>
    <cfRule type="expression" dxfId="39" priority="21" stopIfTrue="1">
      <formula>LEN($B22)&gt;1</formula>
    </cfRule>
  </conditionalFormatting>
  <conditionalFormatting sqref="A49:E831">
    <cfRule type="expression" dxfId="38" priority="1" stopIfTrue="1">
      <formula>$D49 = "OGÓŁEM:"</formula>
    </cfRule>
    <cfRule type="expression" dxfId="37" priority="2" stopIfTrue="1">
      <formula>LEN($A49)&gt;1</formula>
    </cfRule>
    <cfRule type="expression" dxfId="36" priority="3" stopIfTrue="1">
      <formula>LEN($B49)&gt;1</formula>
    </cfRule>
  </conditionalFormatting>
  <conditionalFormatting sqref="A11:H21">
    <cfRule type="expression" dxfId="35" priority="22" stopIfTrue="1">
      <formula>$D11 = "OGÓŁEM:"</formula>
    </cfRule>
    <cfRule type="expression" dxfId="34" priority="23" stopIfTrue="1">
      <formula>LEN($A11)&gt;1</formula>
    </cfRule>
    <cfRule type="expression" dxfId="33" priority="24" stopIfTrue="1">
      <formula>LEN($B11)&gt;1</formula>
    </cfRule>
  </conditionalFormatting>
  <conditionalFormatting sqref="A37:H48">
    <cfRule type="expression" dxfId="32" priority="7" stopIfTrue="1">
      <formula>$D37 = "OGÓŁEM:"</formula>
    </cfRule>
    <cfRule type="expression" dxfId="31" priority="8" stopIfTrue="1">
      <formula>LEN($A37)&gt;1</formula>
    </cfRule>
    <cfRule type="expression" dxfId="30" priority="9" stopIfTrue="1">
      <formula>LEN($B37)&gt;1</formula>
    </cfRule>
  </conditionalFormatting>
  <conditionalFormatting sqref="F22:H29">
    <cfRule type="expression" dxfId="29" priority="28" stopIfTrue="1">
      <formula>$D22 = "OGÓŁEM:"</formula>
    </cfRule>
    <cfRule type="expression" dxfId="28" priority="29" stopIfTrue="1">
      <formula>LEN($A22)&gt;1</formula>
    </cfRule>
    <cfRule type="expression" dxfId="27" priority="30" stopIfTrue="1">
      <formula>LEN($B22)&gt;1</formula>
    </cfRule>
  </conditionalFormatting>
  <conditionalFormatting sqref="F33:H33">
    <cfRule type="expression" dxfId="26" priority="40" stopIfTrue="1">
      <formula>$D33 = "OGÓŁEM:"</formula>
    </cfRule>
    <cfRule type="expression" dxfId="25" priority="41" stopIfTrue="1">
      <formula>LEN($A33)&gt;1</formula>
    </cfRule>
    <cfRule type="expression" dxfId="24" priority="42" stopIfTrue="1">
      <formula>LEN($B33)&gt;1</formula>
    </cfRule>
  </conditionalFormatting>
  <conditionalFormatting sqref="F49:H56">
    <cfRule type="expression" dxfId="23" priority="16" stopIfTrue="1">
      <formula>$D49 = "OGÓŁEM:"</formula>
    </cfRule>
    <cfRule type="expression" dxfId="22" priority="17" stopIfTrue="1">
      <formula>LEN($A49)&gt;1</formula>
    </cfRule>
    <cfRule type="expression" dxfId="21" priority="18" stopIfTrue="1">
      <formula>LEN($B49)&gt;1</formula>
    </cfRule>
  </conditionalFormatting>
  <pageMargins left="0.51181102362204722" right="0.51181102362204722" top="0.74803149606299213" bottom="0.55118110236220474" header="0.31496062992125984" footer="0.31496062992125984"/>
  <pageSetup paperSize="9" scale="68" orientation="portrait" r:id="rId1"/>
  <headerFooter>
    <oddHeader>&amp;RZałącznik Nr 7
do Uchwały Nr II/..../2024 
Rady Gminy Komorniki z dnia 22 maja 2024r.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2C513-DB46-4730-AE6E-EC0151C2755E}">
  <dimension ref="A3:H54"/>
  <sheetViews>
    <sheetView topLeftCell="A29" workbookViewId="0">
      <selection activeCell="F52" sqref="F52"/>
    </sheetView>
  </sheetViews>
  <sheetFormatPr defaultRowHeight="15"/>
  <cols>
    <col min="1" max="1" width="5.5703125" style="1" customWidth="1"/>
    <col min="2" max="3" width="6.28515625" style="1" customWidth="1"/>
    <col min="4" max="4" width="57.5703125" style="1" customWidth="1"/>
    <col min="5" max="6" width="12.85546875" style="1" customWidth="1"/>
    <col min="7" max="8" width="13" style="1" customWidth="1"/>
    <col min="9" max="16384" width="9.140625" style="1"/>
  </cols>
  <sheetData>
    <row r="3" spans="1:8" ht="15.75">
      <c r="A3" s="621" t="s">
        <v>329</v>
      </c>
      <c r="B3" s="621"/>
      <c r="C3" s="621"/>
      <c r="D3" s="621"/>
      <c r="E3" s="621"/>
      <c r="F3" s="567"/>
      <c r="G3" s="567"/>
      <c r="H3" s="567"/>
    </row>
    <row r="4" spans="1:8" ht="15.75">
      <c r="A4" s="621" t="s">
        <v>330</v>
      </c>
      <c r="B4" s="622"/>
      <c r="C4" s="622"/>
      <c r="D4" s="622"/>
      <c r="E4" s="622"/>
      <c r="F4" s="567"/>
      <c r="G4" s="567"/>
      <c r="H4" s="567"/>
    </row>
    <row r="5" spans="1:8" ht="15.75">
      <c r="A5"/>
      <c r="B5"/>
      <c r="C5"/>
      <c r="D5" s="621" t="s">
        <v>219</v>
      </c>
      <c r="E5" s="567"/>
      <c r="F5" s="567"/>
    </row>
    <row r="6" spans="1:8" ht="15.75">
      <c r="D6" s="246"/>
    </row>
    <row r="7" spans="1:8" ht="15.75">
      <c r="A7" s="247" t="s">
        <v>216</v>
      </c>
      <c r="B7" s="248"/>
      <c r="C7" s="248"/>
      <c r="D7" s="249"/>
      <c r="E7" s="248"/>
      <c r="F7" s="248"/>
      <c r="G7" s="248"/>
      <c r="H7" s="248"/>
    </row>
    <row r="8" spans="1:8" ht="43.5">
      <c r="A8" s="294" t="s">
        <v>0</v>
      </c>
      <c r="B8" s="295" t="s">
        <v>1</v>
      </c>
      <c r="C8" s="296" t="s">
        <v>2</v>
      </c>
      <c r="D8" s="296" t="s">
        <v>3</v>
      </c>
      <c r="E8" s="296" t="s">
        <v>4</v>
      </c>
      <c r="F8" s="296" t="s">
        <v>326</v>
      </c>
      <c r="G8" s="296" t="s">
        <v>327</v>
      </c>
      <c r="H8" s="296" t="s">
        <v>328</v>
      </c>
    </row>
    <row r="9" spans="1:8" ht="12.75" customHeight="1">
      <c r="A9" s="37">
        <v>1</v>
      </c>
      <c r="B9" s="38">
        <v>2</v>
      </c>
      <c r="C9" s="38">
        <v>3</v>
      </c>
      <c r="D9" s="38">
        <v>4</v>
      </c>
      <c r="E9" s="38">
        <v>5</v>
      </c>
      <c r="F9" s="38">
        <v>6</v>
      </c>
      <c r="G9" s="38">
        <v>7</v>
      </c>
      <c r="H9" s="38">
        <v>8</v>
      </c>
    </row>
    <row r="10" spans="1:8" ht="15.75" hidden="1" customHeight="1">
      <c r="A10" s="60"/>
      <c r="B10" s="61"/>
      <c r="C10" s="61"/>
      <c r="D10" s="61"/>
      <c r="E10" s="61"/>
      <c r="F10" s="31"/>
      <c r="G10" s="31"/>
      <c r="H10" s="31"/>
    </row>
    <row r="11" spans="1:8" hidden="1">
      <c r="A11" s="250">
        <v>600</v>
      </c>
      <c r="B11" s="251"/>
      <c r="C11" s="252"/>
      <c r="D11" s="253" t="s">
        <v>12</v>
      </c>
      <c r="E11" s="254">
        <f>E12</f>
        <v>8000000</v>
      </c>
      <c r="F11" s="31"/>
      <c r="G11" s="31"/>
      <c r="H11" s="31"/>
    </row>
    <row r="12" spans="1:8" hidden="1">
      <c r="A12" s="250"/>
      <c r="B12" s="251">
        <v>60016</v>
      </c>
      <c r="C12" s="252"/>
      <c r="D12" s="253" t="s">
        <v>16</v>
      </c>
      <c r="E12" s="254">
        <f>SUM(E13:E13)</f>
        <v>8000000</v>
      </c>
      <c r="F12" s="31"/>
      <c r="G12" s="31"/>
      <c r="H12" s="31"/>
    </row>
    <row r="13" spans="1:8" ht="25.5" hidden="1">
      <c r="A13" s="250"/>
      <c r="B13" s="251"/>
      <c r="C13" s="255">
        <v>6370</v>
      </c>
      <c r="D13" s="256" t="s">
        <v>187</v>
      </c>
      <c r="E13" s="257">
        <v>8000000</v>
      </c>
      <c r="F13" s="31"/>
      <c r="G13" s="31"/>
      <c r="H13" s="31"/>
    </row>
    <row r="14" spans="1:8">
      <c r="A14" s="258">
        <v>750</v>
      </c>
      <c r="B14" s="259"/>
      <c r="C14" s="255"/>
      <c r="D14" s="256" t="s">
        <v>28</v>
      </c>
      <c r="E14" s="254">
        <f>E15</f>
        <v>1722.9099999999999</v>
      </c>
      <c r="F14" s="254">
        <f t="shared" ref="F14:H15" si="0">F15</f>
        <v>0</v>
      </c>
      <c r="G14" s="254">
        <f t="shared" si="0"/>
        <v>0</v>
      </c>
      <c r="H14" s="254">
        <f t="shared" si="0"/>
        <v>1722.9099999999999</v>
      </c>
    </row>
    <row r="15" spans="1:8">
      <c r="A15" s="250"/>
      <c r="B15" s="251">
        <v>75095</v>
      </c>
      <c r="C15" s="252"/>
      <c r="D15" s="253" t="s">
        <v>8</v>
      </c>
      <c r="E15" s="254">
        <f>E16</f>
        <v>1722.9099999999999</v>
      </c>
      <c r="F15" s="254">
        <f t="shared" si="0"/>
        <v>0</v>
      </c>
      <c r="G15" s="254">
        <f t="shared" si="0"/>
        <v>0</v>
      </c>
      <c r="H15" s="254">
        <f t="shared" si="0"/>
        <v>1722.9099999999999</v>
      </c>
    </row>
    <row r="16" spans="1:8" ht="25.5">
      <c r="A16" s="258"/>
      <c r="B16" s="259"/>
      <c r="C16" s="255">
        <v>2100</v>
      </c>
      <c r="D16" s="256" t="s">
        <v>331</v>
      </c>
      <c r="E16" s="257">
        <f>31.38+925.04+766.49</f>
        <v>1722.9099999999999</v>
      </c>
      <c r="F16" s="257"/>
      <c r="G16" s="257"/>
      <c r="H16" s="257">
        <f>E16+F16-G16</f>
        <v>1722.9099999999999</v>
      </c>
    </row>
    <row r="17" spans="1:8">
      <c r="A17" s="272">
        <v>801</v>
      </c>
      <c r="B17" s="273"/>
      <c r="C17" s="274"/>
      <c r="D17" s="275" t="s">
        <v>58</v>
      </c>
      <c r="E17" s="271">
        <f>E18+E53+E65+E92+E95+E104+E106+E108+E111+E124+E114+E122</f>
        <v>704710</v>
      </c>
      <c r="F17" s="271">
        <f>F18+F53+F65+F92+F95+F104+F106+F108+F111+F124+F114+F122</f>
        <v>0</v>
      </c>
      <c r="G17" s="271">
        <f>G18+G53+G65+G92+G95+G104+G106+G108+G111+G124+G114+G122</f>
        <v>0</v>
      </c>
      <c r="H17" s="271">
        <f>H18+H53+H65+H92+H95+H104+H106+H108+H111+H124+H114+H122</f>
        <v>704710</v>
      </c>
    </row>
    <row r="18" spans="1:8" ht="15.75">
      <c r="A18" s="70"/>
      <c r="B18" s="273">
        <v>80195</v>
      </c>
      <c r="C18" s="72"/>
      <c r="D18" s="275" t="s">
        <v>8</v>
      </c>
      <c r="E18" s="271">
        <f>SUM(E19)</f>
        <v>704710</v>
      </c>
      <c r="F18" s="271">
        <f t="shared" ref="F18:G18" si="1">SUM(F19)</f>
        <v>0</v>
      </c>
      <c r="G18" s="271">
        <f t="shared" si="1"/>
        <v>0</v>
      </c>
      <c r="H18" s="271">
        <f>SUM(H19)</f>
        <v>704710</v>
      </c>
    </row>
    <row r="19" spans="1:8" ht="25.5">
      <c r="A19" s="70"/>
      <c r="B19" s="71"/>
      <c r="C19" s="274">
        <v>2100</v>
      </c>
      <c r="D19" s="275" t="s">
        <v>331</v>
      </c>
      <c r="E19" s="271">
        <f>357133+347577</f>
        <v>704710</v>
      </c>
      <c r="F19" s="271"/>
      <c r="G19" s="271"/>
      <c r="H19" s="271">
        <f>E19+F19-G19</f>
        <v>704710</v>
      </c>
    </row>
    <row r="20" spans="1:8">
      <c r="A20" s="250">
        <v>852</v>
      </c>
      <c r="B20" s="251"/>
      <c r="C20" s="252"/>
      <c r="D20" s="253" t="s">
        <v>67</v>
      </c>
      <c r="E20" s="254">
        <f>E21</f>
        <v>361457.26</v>
      </c>
      <c r="F20" s="254">
        <f t="shared" ref="F20:H21" si="2">F21</f>
        <v>36328</v>
      </c>
      <c r="G20" s="254">
        <f t="shared" si="2"/>
        <v>0</v>
      </c>
      <c r="H20" s="254">
        <f t="shared" si="2"/>
        <v>397785.26</v>
      </c>
    </row>
    <row r="21" spans="1:8">
      <c r="A21" s="250"/>
      <c r="B21" s="251">
        <v>85231</v>
      </c>
      <c r="C21" s="252"/>
      <c r="D21" s="253" t="s">
        <v>332</v>
      </c>
      <c r="E21" s="254">
        <f>E22</f>
        <v>361457.26</v>
      </c>
      <c r="F21" s="254">
        <f t="shared" si="2"/>
        <v>36328</v>
      </c>
      <c r="G21" s="254">
        <f t="shared" si="2"/>
        <v>0</v>
      </c>
      <c r="H21" s="254">
        <f t="shared" si="2"/>
        <v>397785.26</v>
      </c>
    </row>
    <row r="22" spans="1:8" ht="25.5">
      <c r="A22" s="250"/>
      <c r="B22" s="251"/>
      <c r="C22" s="255">
        <v>2100</v>
      </c>
      <c r="D22" s="256" t="s">
        <v>331</v>
      </c>
      <c r="E22" s="257">
        <f>13000+46304+74596+159485.63+68071.63</f>
        <v>361457.26</v>
      </c>
      <c r="F22" s="257">
        <f>2000+3000+31328</f>
        <v>36328</v>
      </c>
      <c r="G22" s="257"/>
      <c r="H22" s="257">
        <f>E22+F22-G22</f>
        <v>397785.26</v>
      </c>
    </row>
    <row r="23" spans="1:8" ht="18.75">
      <c r="A23" s="260"/>
      <c r="B23" s="261"/>
      <c r="C23" s="262"/>
      <c r="D23" s="263" t="s">
        <v>91</v>
      </c>
      <c r="E23" s="264">
        <f>E20+E14+E18</f>
        <v>1067890.17</v>
      </c>
      <c r="F23" s="264">
        <f>F20+F14+F18</f>
        <v>36328</v>
      </c>
      <c r="G23" s="264">
        <f>G20+G14+G18</f>
        <v>0</v>
      </c>
      <c r="H23" s="264">
        <f>H20+H14+H18</f>
        <v>1104218.17</v>
      </c>
    </row>
    <row r="24" spans="1:8" ht="18.75">
      <c r="A24" s="265"/>
      <c r="B24" s="266"/>
      <c r="C24" s="267"/>
      <c r="D24" s="268"/>
      <c r="E24" s="269"/>
    </row>
    <row r="25" spans="1:8">
      <c r="A25"/>
      <c r="B25"/>
      <c r="C25"/>
      <c r="D25"/>
      <c r="E25"/>
    </row>
    <row r="26" spans="1:8" ht="15.75" customHeight="1">
      <c r="A26"/>
      <c r="B26"/>
      <c r="C26"/>
      <c r="D26"/>
      <c r="E26"/>
    </row>
    <row r="27" spans="1:8" ht="15.75" customHeight="1">
      <c r="A27" t="s">
        <v>217</v>
      </c>
      <c r="B27"/>
      <c r="C27"/>
      <c r="D27" s="270"/>
      <c r="E27"/>
    </row>
    <row r="28" spans="1:8" ht="43.5">
      <c r="A28" s="229" t="s">
        <v>0</v>
      </c>
      <c r="B28" s="230" t="s">
        <v>1</v>
      </c>
      <c r="C28" s="231" t="s">
        <v>2</v>
      </c>
      <c r="D28" s="231" t="s">
        <v>3</v>
      </c>
      <c r="E28" s="231" t="s">
        <v>4</v>
      </c>
      <c r="F28" s="296" t="s">
        <v>326</v>
      </c>
      <c r="G28" s="296" t="s">
        <v>327</v>
      </c>
      <c r="H28" s="296" t="s">
        <v>328</v>
      </c>
    </row>
    <row r="29" spans="1:8">
      <c r="A29" s="297">
        <v>1</v>
      </c>
      <c r="B29" s="298">
        <v>2</v>
      </c>
      <c r="C29" s="298">
        <v>3</v>
      </c>
      <c r="D29" s="298">
        <v>4</v>
      </c>
      <c r="E29" s="298">
        <v>5</v>
      </c>
      <c r="F29" s="299">
        <v>6</v>
      </c>
      <c r="G29" s="299">
        <v>7</v>
      </c>
      <c r="H29" s="299">
        <v>8</v>
      </c>
    </row>
    <row r="30" spans="1:8" ht="14.25" customHeight="1">
      <c r="A30" s="7"/>
      <c r="B30" s="8"/>
      <c r="C30" s="8"/>
      <c r="D30" s="8"/>
      <c r="E30" s="8"/>
      <c r="F30" s="8"/>
      <c r="G30" s="8"/>
      <c r="H30" s="8"/>
    </row>
    <row r="31" spans="1:8">
      <c r="A31" s="190">
        <v>750</v>
      </c>
      <c r="B31" s="124"/>
      <c r="C31" s="125"/>
      <c r="D31" s="126" t="s">
        <v>28</v>
      </c>
      <c r="E31" s="271">
        <f>E32</f>
        <v>1722.91</v>
      </c>
      <c r="F31" s="271">
        <f t="shared" ref="F31:H31" si="3">F32</f>
        <v>0</v>
      </c>
      <c r="G31" s="271">
        <f t="shared" si="3"/>
        <v>0</v>
      </c>
      <c r="H31" s="271">
        <f t="shared" si="3"/>
        <v>1722.91</v>
      </c>
    </row>
    <row r="32" spans="1:8">
      <c r="A32" s="272"/>
      <c r="B32" s="273">
        <v>75095</v>
      </c>
      <c r="C32" s="274"/>
      <c r="D32" s="275" t="s">
        <v>8</v>
      </c>
      <c r="E32" s="271">
        <f>SUM(E33:E34)</f>
        <v>1722.91</v>
      </c>
      <c r="F32" s="271">
        <f t="shared" ref="F32" si="4">SUM(F33:F34)</f>
        <v>0</v>
      </c>
      <c r="G32" s="271">
        <f t="shared" ref="G32" si="5">SUM(G33:G34)</f>
        <v>0</v>
      </c>
      <c r="H32" s="271">
        <f t="shared" ref="H32" si="6">SUM(H33:H34)</f>
        <v>1722.91</v>
      </c>
    </row>
    <row r="33" spans="1:8" ht="25.5">
      <c r="A33" s="272"/>
      <c r="B33" s="273"/>
      <c r="C33" s="125">
        <v>4740</v>
      </c>
      <c r="D33" s="126" t="s">
        <v>333</v>
      </c>
      <c r="E33" s="130">
        <f>26.25+773.77+643.19</f>
        <v>1443.21</v>
      </c>
      <c r="F33" s="130"/>
      <c r="G33" s="130"/>
      <c r="H33" s="130">
        <f>E33+F33-G33</f>
        <v>1443.21</v>
      </c>
    </row>
    <row r="34" spans="1:8" ht="25.5">
      <c r="A34" s="272"/>
      <c r="B34" s="273"/>
      <c r="C34" s="255">
        <v>4850</v>
      </c>
      <c r="D34" s="285" t="s">
        <v>336</v>
      </c>
      <c r="E34" s="130">
        <f>5.13+151.27+123.3</f>
        <v>279.7</v>
      </c>
      <c r="F34" s="130"/>
      <c r="G34" s="130"/>
      <c r="H34" s="130">
        <f>E34+F34-G34</f>
        <v>279.7</v>
      </c>
    </row>
    <row r="35" spans="1:8">
      <c r="A35" s="272">
        <v>801</v>
      </c>
      <c r="B35" s="273"/>
      <c r="C35" s="274"/>
      <c r="D35" s="275" t="s">
        <v>58</v>
      </c>
      <c r="E35" s="271">
        <f>E36+E71+E83+E110+E113+E122+E124+E126+E129+E142+E132+E140</f>
        <v>704710</v>
      </c>
      <c r="F35" s="271">
        <f>F36+F71+F83+F110+F113+F122+F124+F126+F129+F142+F132+F140</f>
        <v>25594.080000000002</v>
      </c>
      <c r="G35" s="271">
        <f>G36+G71+G83+G110+G113+G122+G124+G126+G129+G142+G132+G140</f>
        <v>0</v>
      </c>
      <c r="H35" s="271">
        <f>H36+H71+H83+H110+H113+H122+H124+H126+H129+H142+H132+H140</f>
        <v>730304.08</v>
      </c>
    </row>
    <row r="36" spans="1:8" ht="15.75">
      <c r="A36" s="70"/>
      <c r="B36" s="273">
        <v>80195</v>
      </c>
      <c r="C36" s="72"/>
      <c r="D36" s="275" t="s">
        <v>8</v>
      </c>
      <c r="E36" s="271">
        <f>SUM(E37:E43)</f>
        <v>704710</v>
      </c>
      <c r="F36" s="271">
        <f t="shared" ref="F36:H36" si="7">SUM(F37:F43)</f>
        <v>25594.080000000002</v>
      </c>
      <c r="G36" s="271">
        <f t="shared" si="7"/>
        <v>0</v>
      </c>
      <c r="H36" s="271">
        <f t="shared" si="7"/>
        <v>730304.08</v>
      </c>
    </row>
    <row r="37" spans="1:8" ht="25.5">
      <c r="A37" s="272"/>
      <c r="B37" s="273"/>
      <c r="C37" s="125">
        <v>2540</v>
      </c>
      <c r="D37" s="126" t="s">
        <v>142</v>
      </c>
      <c r="E37" s="130">
        <f>105200.64-81024.46+33418.58</f>
        <v>57594.759999999995</v>
      </c>
      <c r="F37" s="130">
        <v>25594.080000000002</v>
      </c>
      <c r="G37" s="130"/>
      <c r="H37" s="130">
        <f>E37+F37-G37</f>
        <v>83188.84</v>
      </c>
    </row>
    <row r="38" spans="1:8" ht="38.25">
      <c r="A38" s="272"/>
      <c r="B38" s="273"/>
      <c r="C38" s="125">
        <v>2590</v>
      </c>
      <c r="D38" s="126" t="s">
        <v>149</v>
      </c>
      <c r="E38" s="130">
        <f>24176.18+81024.46+121638.24</f>
        <v>226838.88</v>
      </c>
      <c r="F38" s="130"/>
      <c r="G38" s="130"/>
      <c r="H38" s="130">
        <f t="shared" ref="H38:H43" si="8">E38+F38-G38</f>
        <v>226838.88</v>
      </c>
    </row>
    <row r="39" spans="1:8" ht="25.5">
      <c r="A39" s="272"/>
      <c r="B39" s="273"/>
      <c r="C39" s="125">
        <v>4350</v>
      </c>
      <c r="D39" s="126" t="s">
        <v>337</v>
      </c>
      <c r="E39" s="130">
        <f>211842.78+105210</f>
        <v>317052.78000000003</v>
      </c>
      <c r="F39" s="130"/>
      <c r="G39" s="130"/>
      <c r="H39" s="130">
        <f t="shared" si="8"/>
        <v>317052.78000000003</v>
      </c>
    </row>
    <row r="40" spans="1:8">
      <c r="A40" s="272"/>
      <c r="B40" s="273"/>
      <c r="C40" s="125">
        <v>4370</v>
      </c>
      <c r="D40" s="126" t="s">
        <v>363</v>
      </c>
      <c r="E40" s="130">
        <f>32226.23</f>
        <v>32226.23</v>
      </c>
      <c r="F40" s="130"/>
      <c r="G40" s="130"/>
      <c r="H40" s="130">
        <f t="shared" si="8"/>
        <v>32226.23</v>
      </c>
    </row>
    <row r="41" spans="1:8" ht="25.5">
      <c r="A41" s="272"/>
      <c r="B41" s="273"/>
      <c r="C41" s="125">
        <v>4740</v>
      </c>
      <c r="D41" s="126" t="s">
        <v>333</v>
      </c>
      <c r="E41" s="130">
        <f>6000+39405</f>
        <v>45405</v>
      </c>
      <c r="F41" s="130"/>
      <c r="G41" s="130"/>
      <c r="H41" s="130">
        <f t="shared" si="8"/>
        <v>45405</v>
      </c>
    </row>
    <row r="42" spans="1:8" ht="25.5">
      <c r="A42" s="272"/>
      <c r="B42" s="273"/>
      <c r="C42" s="125">
        <v>4750</v>
      </c>
      <c r="D42" s="126" t="s">
        <v>359</v>
      </c>
      <c r="E42" s="130">
        <f>8478.4+5101</f>
        <v>13579.4</v>
      </c>
      <c r="F42" s="130"/>
      <c r="G42" s="130"/>
      <c r="H42" s="130">
        <f t="shared" si="8"/>
        <v>13579.4</v>
      </c>
    </row>
    <row r="43" spans="1:8" ht="25.5">
      <c r="A43" s="272"/>
      <c r="B43" s="273"/>
      <c r="C43" s="125">
        <v>4850</v>
      </c>
      <c r="D43" s="126" t="s">
        <v>336</v>
      </c>
      <c r="E43" s="130">
        <f>1435+10577.95</f>
        <v>12012.95</v>
      </c>
      <c r="F43" s="130"/>
      <c r="G43" s="130"/>
      <c r="H43" s="130">
        <f t="shared" si="8"/>
        <v>12012.95</v>
      </c>
    </row>
    <row r="44" spans="1:8">
      <c r="A44" s="272">
        <v>852</v>
      </c>
      <c r="B44" s="273"/>
      <c r="C44" s="274"/>
      <c r="D44" s="275" t="s">
        <v>67</v>
      </c>
      <c r="E44" s="271">
        <f>E45</f>
        <v>361457.26</v>
      </c>
      <c r="F44" s="271">
        <f t="shared" ref="F44:H44" si="9">F45</f>
        <v>36328</v>
      </c>
      <c r="G44" s="271">
        <f t="shared" si="9"/>
        <v>0</v>
      </c>
      <c r="H44" s="271">
        <f t="shared" si="9"/>
        <v>397785.26</v>
      </c>
    </row>
    <row r="45" spans="1:8">
      <c r="A45" s="272"/>
      <c r="B45" s="273">
        <v>85231</v>
      </c>
      <c r="C45" s="274"/>
      <c r="D45" s="275" t="s">
        <v>332</v>
      </c>
      <c r="E45" s="271">
        <f>SUM(E46:E51)</f>
        <v>361457.26</v>
      </c>
      <c r="F45" s="271">
        <f>SUM(F46:F51)</f>
        <v>36328</v>
      </c>
      <c r="G45" s="271">
        <f>SUM(G46:G51)</f>
        <v>0</v>
      </c>
      <c r="H45" s="271">
        <f>SUM(H46:H51)</f>
        <v>397785.26</v>
      </c>
    </row>
    <row r="46" spans="1:8">
      <c r="A46" s="272"/>
      <c r="B46" s="273"/>
      <c r="C46" s="274">
        <v>3280</v>
      </c>
      <c r="D46" s="275" t="s">
        <v>334</v>
      </c>
      <c r="E46" s="271">
        <f>12621+27299+58600+90240+46400</f>
        <v>235160</v>
      </c>
      <c r="F46" s="271">
        <v>30720</v>
      </c>
      <c r="G46" s="271"/>
      <c r="H46" s="271">
        <f>E46+F46-G46</f>
        <v>265880</v>
      </c>
    </row>
    <row r="47" spans="1:8" ht="25.5">
      <c r="A47" s="272"/>
      <c r="B47" s="273"/>
      <c r="C47" s="125">
        <v>3290</v>
      </c>
      <c r="D47" s="275" t="s">
        <v>340</v>
      </c>
      <c r="E47" s="271">
        <f>18562.18+15101.39+66708.8+20679.92</f>
        <v>121052.29</v>
      </c>
      <c r="F47" s="271">
        <f>1960.78+2941.18</f>
        <v>4901.96</v>
      </c>
      <c r="G47" s="271"/>
      <c r="H47" s="271">
        <f>E47+F47-G47</f>
        <v>125954.25</v>
      </c>
    </row>
    <row r="48" spans="1:8" ht="25.5">
      <c r="A48" s="272"/>
      <c r="B48" s="273"/>
      <c r="C48" s="274">
        <v>4350</v>
      </c>
      <c r="D48" s="275" t="s">
        <v>335</v>
      </c>
      <c r="E48" s="271">
        <f>379+442.82+894.61+282.83+58.82</f>
        <v>2058.08</v>
      </c>
      <c r="F48" s="271">
        <f>39.22+58.82</f>
        <v>98.039999999999992</v>
      </c>
      <c r="G48" s="271"/>
      <c r="H48" s="271">
        <f t="shared" ref="H48:H51" si="10">E48+F48-G48</f>
        <v>2156.12</v>
      </c>
    </row>
    <row r="49" spans="1:8">
      <c r="A49" s="272"/>
      <c r="B49" s="273"/>
      <c r="C49" s="125">
        <v>4370</v>
      </c>
      <c r="D49" s="126" t="s">
        <v>363</v>
      </c>
      <c r="E49" s="271">
        <f>1758+436.89</f>
        <v>2194.89</v>
      </c>
      <c r="F49" s="271"/>
      <c r="G49" s="271"/>
      <c r="H49" s="271">
        <f t="shared" si="10"/>
        <v>2194.89</v>
      </c>
    </row>
    <row r="50" spans="1:8" ht="25.5">
      <c r="A50" s="272"/>
      <c r="B50" s="273"/>
      <c r="C50" s="125">
        <v>4740</v>
      </c>
      <c r="D50" s="126" t="s">
        <v>333</v>
      </c>
      <c r="E50" s="271">
        <f>410+410</f>
        <v>820</v>
      </c>
      <c r="F50" s="271">
        <v>502.48</v>
      </c>
      <c r="G50" s="271"/>
      <c r="H50" s="271">
        <f t="shared" si="10"/>
        <v>1322.48</v>
      </c>
    </row>
    <row r="51" spans="1:8" ht="25.5">
      <c r="A51" s="190"/>
      <c r="B51" s="124"/>
      <c r="C51" s="125">
        <v>4850</v>
      </c>
      <c r="D51" s="126" t="s">
        <v>336</v>
      </c>
      <c r="E51" s="130">
        <f>86+86</f>
        <v>172</v>
      </c>
      <c r="F51" s="130">
        <v>105.52</v>
      </c>
      <c r="G51" s="130"/>
      <c r="H51" s="271">
        <f t="shared" si="10"/>
        <v>277.52</v>
      </c>
    </row>
    <row r="52" spans="1:8" ht="18.75">
      <c r="A52" s="276"/>
      <c r="B52" s="277"/>
      <c r="C52" s="278"/>
      <c r="D52" s="73" t="s">
        <v>91</v>
      </c>
      <c r="E52" s="74">
        <f>E31+E44+E35</f>
        <v>1067890.17</v>
      </c>
      <c r="F52" s="74">
        <f t="shared" ref="F52:H52" si="11">F31+F44+F35</f>
        <v>61922.080000000002</v>
      </c>
      <c r="G52" s="74">
        <f t="shared" si="11"/>
        <v>0</v>
      </c>
      <c r="H52" s="74">
        <f t="shared" si="11"/>
        <v>1129812.25</v>
      </c>
    </row>
    <row r="54" spans="1:8">
      <c r="A54" s="495" t="s">
        <v>424</v>
      </c>
    </row>
  </sheetData>
  <mergeCells count="3">
    <mergeCell ref="A3:H3"/>
    <mergeCell ref="A4:H4"/>
    <mergeCell ref="D5:F5"/>
  </mergeCells>
  <conditionalFormatting sqref="A11:E16 F14:H16 F20:H23 A20:E27 F27:H27">
    <cfRule type="expression" dxfId="20" priority="43" stopIfTrue="1">
      <formula>$D11 = "OGÓŁEM:"</formula>
    </cfRule>
    <cfRule type="expression" dxfId="19" priority="44" stopIfTrue="1">
      <formula>LEN($A11)&gt;1</formula>
    </cfRule>
    <cfRule type="expression" dxfId="18" priority="45" stopIfTrue="1">
      <formula>LEN($B11)&gt;1</formula>
    </cfRule>
  </conditionalFormatting>
  <conditionalFormatting sqref="A31:E33 E34">
    <cfRule type="expression" dxfId="17" priority="40" stopIfTrue="1">
      <formula>$D31 = "OGÓŁEM:"</formula>
    </cfRule>
    <cfRule type="expression" dxfId="16" priority="41" stopIfTrue="1">
      <formula>LEN($A31)&gt;1</formula>
    </cfRule>
    <cfRule type="expression" dxfId="15" priority="42" stopIfTrue="1">
      <formula>LEN($B31)&gt;1</formula>
    </cfRule>
  </conditionalFormatting>
  <conditionalFormatting sqref="A37:E827">
    <cfRule type="expression" dxfId="14" priority="1" stopIfTrue="1">
      <formula>$D37 = "OGÓŁEM:"</formula>
    </cfRule>
    <cfRule type="expression" dxfId="13" priority="2" stopIfTrue="1">
      <formula>LEN($A37)&gt;1</formula>
    </cfRule>
    <cfRule type="expression" dxfId="12" priority="3" stopIfTrue="1">
      <formula>LEN($B37)&gt;1</formula>
    </cfRule>
  </conditionalFormatting>
  <conditionalFormatting sqref="A17:H19">
    <cfRule type="expression" dxfId="11" priority="28" stopIfTrue="1">
      <formula>$D17 = "OGÓŁEM:"</formula>
    </cfRule>
    <cfRule type="expression" dxfId="10" priority="29" stopIfTrue="1">
      <formula>LEN($A17)&gt;1</formula>
    </cfRule>
    <cfRule type="expression" dxfId="9" priority="30" stopIfTrue="1">
      <formula>LEN($B17)&gt;1</formula>
    </cfRule>
  </conditionalFormatting>
  <conditionalFormatting sqref="A35:H36">
    <cfRule type="expression" dxfId="8" priority="22" stopIfTrue="1">
      <formula>$D35 = "OGÓŁEM:"</formula>
    </cfRule>
    <cfRule type="expression" dxfId="7" priority="23" stopIfTrue="1">
      <formula>LEN($A35)&gt;1</formula>
    </cfRule>
    <cfRule type="expression" dxfId="6" priority="24" stopIfTrue="1">
      <formula>LEN($B35)&gt;1</formula>
    </cfRule>
  </conditionalFormatting>
  <conditionalFormatting sqref="F31:H34 A34:C34">
    <cfRule type="expression" dxfId="5" priority="37" stopIfTrue="1">
      <formula>$D31 = "OGÓŁEM:"</formula>
    </cfRule>
    <cfRule type="expression" dxfId="4" priority="38" stopIfTrue="1">
      <formula>LEN($A31)&gt;1</formula>
    </cfRule>
    <cfRule type="expression" dxfId="3" priority="39" stopIfTrue="1">
      <formula>LEN($B31)&gt;1</formula>
    </cfRule>
  </conditionalFormatting>
  <conditionalFormatting sqref="F37:H52">
    <cfRule type="expression" dxfId="2" priority="34" stopIfTrue="1">
      <formula>$D37 = "OGÓŁEM:"</formula>
    </cfRule>
    <cfRule type="expression" dxfId="1" priority="35" stopIfTrue="1">
      <formula>LEN($A37)&gt;1</formula>
    </cfRule>
    <cfRule type="expression" dxfId="0" priority="36" stopIfTrue="1">
      <formula>LEN($B37)&gt;1</formula>
    </cfRule>
  </conditionalFormatting>
  <pageMargins left="0.11811023622047245" right="0.11811023622047245" top="0.74803149606299213" bottom="0.74803149606299213" header="0.31496062992125984" footer="0.31496062992125984"/>
  <pageSetup paperSize="9" scale="75" orientation="portrait" r:id="rId1"/>
  <headerFooter>
    <oddHeader xml:space="preserve">&amp;RZałącznik Nr 8
do Uchwału Nr II/.../2024 
Rady Gminy Komorniki z dnia 22 maja 2024r.    
w sprawie uchwały budżetowej na 2024r.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4C247-3FFC-4FBD-B8F3-98003DA6ECD7}">
  <sheetPr codeName="Arkusz10"/>
  <dimension ref="A2:H61"/>
  <sheetViews>
    <sheetView topLeftCell="A16" zoomScale="75" zoomScaleNormal="75" zoomScaleSheetLayoutView="75" workbookViewId="0">
      <selection activeCell="A19" sqref="A19:H19"/>
    </sheetView>
  </sheetViews>
  <sheetFormatPr defaultRowHeight="15"/>
  <cols>
    <col min="1" max="1" width="7" style="31" customWidth="1"/>
    <col min="2" max="2" width="8" style="31" customWidth="1"/>
    <col min="3" max="3" width="7.7109375" style="31" customWidth="1"/>
    <col min="4" max="4" width="59.42578125" style="31" customWidth="1"/>
    <col min="5" max="5" width="14.85546875" style="31" customWidth="1"/>
    <col min="6" max="6" width="15.140625" style="31" customWidth="1"/>
    <col min="7" max="7" width="15.28515625" style="31" customWidth="1"/>
    <col min="8" max="8" width="14.85546875" style="31" customWidth="1"/>
    <col min="9" max="16384" width="9.140625" style="31"/>
  </cols>
  <sheetData>
    <row r="2" spans="1:8" ht="23.25">
      <c r="C2" s="184"/>
      <c r="D2" s="325" t="s">
        <v>314</v>
      </c>
    </row>
    <row r="3" spans="1:8" ht="12" customHeight="1">
      <c r="A3" s="27"/>
      <c r="B3" s="27"/>
      <c r="C3" s="28"/>
      <c r="D3" s="29"/>
      <c r="E3" s="30"/>
    </row>
    <row r="4" spans="1:8" ht="18.75" customHeight="1">
      <c r="A4" s="27"/>
      <c r="B4" s="331"/>
      <c r="C4" s="573" t="s">
        <v>370</v>
      </c>
      <c r="D4" s="574"/>
      <c r="E4" s="574"/>
    </row>
    <row r="5" spans="1:8" ht="9.75" customHeight="1">
      <c r="A5" s="304"/>
      <c r="B5" s="305"/>
      <c r="C5" s="569"/>
      <c r="D5" s="570"/>
      <c r="E5" s="570"/>
      <c r="F5" s="303"/>
      <c r="G5" s="303"/>
      <c r="H5" s="303"/>
    </row>
    <row r="6" spans="1:8" ht="48.75" customHeight="1">
      <c r="A6" s="332" t="s">
        <v>0</v>
      </c>
      <c r="B6" s="333" t="s">
        <v>1</v>
      </c>
      <c r="C6" s="334" t="s">
        <v>2</v>
      </c>
      <c r="D6" s="334" t="s">
        <v>3</v>
      </c>
      <c r="E6" s="334" t="s">
        <v>4</v>
      </c>
      <c r="F6" s="290" t="s">
        <v>326</v>
      </c>
      <c r="G6" s="290" t="s">
        <v>327</v>
      </c>
      <c r="H6" s="306" t="s">
        <v>328</v>
      </c>
    </row>
    <row r="7" spans="1:8">
      <c r="A7" s="37">
        <v>1</v>
      </c>
      <c r="B7" s="38">
        <v>2</v>
      </c>
      <c r="C7" s="38">
        <v>3</v>
      </c>
      <c r="D7" s="38">
        <v>4</v>
      </c>
      <c r="E7" s="38">
        <v>5</v>
      </c>
      <c r="F7" s="245">
        <v>6</v>
      </c>
      <c r="G7" s="245">
        <v>7</v>
      </c>
      <c r="H7" s="307">
        <v>8</v>
      </c>
    </row>
    <row r="8" spans="1:8" ht="15.75">
      <c r="A8" s="97">
        <v>10</v>
      </c>
      <c r="B8" s="98"/>
      <c r="C8" s="99"/>
      <c r="D8" s="100" t="s">
        <v>5</v>
      </c>
      <c r="E8" s="101">
        <f>E9</f>
        <v>150482.09</v>
      </c>
      <c r="F8" s="101">
        <f t="shared" ref="F8:H8" si="0">F9</f>
        <v>0</v>
      </c>
      <c r="G8" s="101">
        <f t="shared" si="0"/>
        <v>0</v>
      </c>
      <c r="H8" s="335">
        <f t="shared" si="0"/>
        <v>150482.09</v>
      </c>
    </row>
    <row r="9" spans="1:8" ht="15.75">
      <c r="A9" s="9"/>
      <c r="B9" s="10">
        <v>1095</v>
      </c>
      <c r="C9" s="11"/>
      <c r="D9" s="12" t="s">
        <v>8</v>
      </c>
      <c r="E9" s="13">
        <f>E10</f>
        <v>150482.09</v>
      </c>
      <c r="F9" s="13">
        <f t="shared" ref="F9:H9" si="1">F10</f>
        <v>0</v>
      </c>
      <c r="G9" s="13">
        <f t="shared" si="1"/>
        <v>0</v>
      </c>
      <c r="H9" s="310">
        <f t="shared" si="1"/>
        <v>150482.09</v>
      </c>
    </row>
    <row r="10" spans="1:8" ht="63">
      <c r="A10" s="44"/>
      <c r="B10" s="45"/>
      <c r="C10" s="46">
        <v>2010</v>
      </c>
      <c r="D10" s="47" t="s">
        <v>9</v>
      </c>
      <c r="E10" s="75">
        <v>150482.09</v>
      </c>
      <c r="F10" s="75"/>
      <c r="G10" s="75"/>
      <c r="H10" s="301">
        <f>E10+F10-G10</f>
        <v>150482.09</v>
      </c>
    </row>
    <row r="11" spans="1:8" ht="15.75">
      <c r="A11" s="9">
        <v>750</v>
      </c>
      <c r="B11" s="10"/>
      <c r="C11" s="11"/>
      <c r="D11" s="12" t="s">
        <v>28</v>
      </c>
      <c r="E11" s="13">
        <f>E12</f>
        <v>414302</v>
      </c>
      <c r="F11" s="13">
        <f t="shared" ref="F11:H11" si="2">F12</f>
        <v>0</v>
      </c>
      <c r="G11" s="13">
        <f t="shared" si="2"/>
        <v>0</v>
      </c>
      <c r="H11" s="310">
        <f t="shared" si="2"/>
        <v>414302</v>
      </c>
    </row>
    <row r="12" spans="1:8" ht="15.75">
      <c r="A12" s="44"/>
      <c r="B12" s="45">
        <v>75011</v>
      </c>
      <c r="C12" s="46"/>
      <c r="D12" s="47" t="s">
        <v>29</v>
      </c>
      <c r="E12" s="75">
        <f>E13</f>
        <v>414302</v>
      </c>
      <c r="F12" s="75">
        <f t="shared" ref="F12:H12" si="3">F13</f>
        <v>0</v>
      </c>
      <c r="G12" s="75">
        <f t="shared" si="3"/>
        <v>0</v>
      </c>
      <c r="H12" s="301">
        <f t="shared" si="3"/>
        <v>414302</v>
      </c>
    </row>
    <row r="13" spans="1:8" ht="63">
      <c r="A13" s="44"/>
      <c r="B13" s="45"/>
      <c r="C13" s="46">
        <v>2010</v>
      </c>
      <c r="D13" s="47" t="s">
        <v>9</v>
      </c>
      <c r="E13" s="75">
        <f>300841+91065+22396</f>
        <v>414302</v>
      </c>
      <c r="F13" s="75"/>
      <c r="G13" s="75"/>
      <c r="H13" s="301">
        <f>E13+F13-G13</f>
        <v>414302</v>
      </c>
    </row>
    <row r="14" spans="1:8" ht="31.5">
      <c r="A14" s="44">
        <v>751</v>
      </c>
      <c r="B14" s="45"/>
      <c r="C14" s="46"/>
      <c r="D14" s="47" t="s">
        <v>32</v>
      </c>
      <c r="E14" s="75">
        <f>E15+E17+E19</f>
        <v>325412</v>
      </c>
      <c r="F14" s="75">
        <f t="shared" ref="F14:H14" si="4">F15+F17+F19</f>
        <v>46829</v>
      </c>
      <c r="G14" s="75">
        <f t="shared" si="4"/>
        <v>0</v>
      </c>
      <c r="H14" s="48">
        <f t="shared" si="4"/>
        <v>372241</v>
      </c>
    </row>
    <row r="15" spans="1:8" ht="31.5">
      <c r="A15" s="44"/>
      <c r="B15" s="45">
        <v>75101</v>
      </c>
      <c r="C15" s="46"/>
      <c r="D15" s="47" t="s">
        <v>33</v>
      </c>
      <c r="E15" s="75">
        <f>E16</f>
        <v>5849</v>
      </c>
      <c r="F15" s="75">
        <f t="shared" ref="F15:H15" si="5">F16</f>
        <v>0</v>
      </c>
      <c r="G15" s="75">
        <f t="shared" si="5"/>
        <v>0</v>
      </c>
      <c r="H15" s="301">
        <f t="shared" si="5"/>
        <v>5849</v>
      </c>
    </row>
    <row r="16" spans="1:8" ht="63">
      <c r="A16" s="44"/>
      <c r="B16" s="45"/>
      <c r="C16" s="46">
        <v>2010</v>
      </c>
      <c r="D16" s="47" t="s">
        <v>9</v>
      </c>
      <c r="E16" s="75">
        <v>5849</v>
      </c>
      <c r="F16" s="75"/>
      <c r="G16" s="75"/>
      <c r="H16" s="301">
        <v>5849</v>
      </c>
    </row>
    <row r="17" spans="1:8" ht="47.25" customHeight="1">
      <c r="A17" s="70"/>
      <c r="B17" s="71">
        <v>75109</v>
      </c>
      <c r="C17" s="72"/>
      <c r="D17" s="73" t="s">
        <v>358</v>
      </c>
      <c r="E17" s="74">
        <f>E18</f>
        <v>319563</v>
      </c>
      <c r="F17" s="74">
        <f t="shared" ref="F17:H19" si="6">F18</f>
        <v>0</v>
      </c>
      <c r="G17" s="302">
        <f t="shared" si="6"/>
        <v>0</v>
      </c>
      <c r="H17" s="309">
        <f t="shared" si="6"/>
        <v>319563</v>
      </c>
    </row>
    <row r="18" spans="1:8" ht="63">
      <c r="A18" s="9"/>
      <c r="B18" s="10"/>
      <c r="C18" s="11">
        <v>2010</v>
      </c>
      <c r="D18" s="12" t="s">
        <v>9</v>
      </c>
      <c r="E18" s="13">
        <f>92251+2860+121000+100792+2660</f>
        <v>319563</v>
      </c>
      <c r="F18" s="13"/>
      <c r="G18" s="300"/>
      <c r="H18" s="309">
        <f>E18+F18-G18</f>
        <v>319563</v>
      </c>
    </row>
    <row r="19" spans="1:8" ht="15.75">
      <c r="A19" s="70"/>
      <c r="B19" s="71">
        <v>75113</v>
      </c>
      <c r="C19" s="72"/>
      <c r="D19" s="73" t="s">
        <v>426</v>
      </c>
      <c r="E19" s="74">
        <f>E20</f>
        <v>0</v>
      </c>
      <c r="F19" s="74">
        <f t="shared" si="6"/>
        <v>46829</v>
      </c>
      <c r="G19" s="302">
        <f t="shared" si="6"/>
        <v>0</v>
      </c>
      <c r="H19" s="309">
        <f t="shared" si="6"/>
        <v>46829</v>
      </c>
    </row>
    <row r="20" spans="1:8" ht="63">
      <c r="A20" s="9"/>
      <c r="B20" s="10"/>
      <c r="C20" s="11">
        <v>2010</v>
      </c>
      <c r="D20" s="12" t="s">
        <v>9</v>
      </c>
      <c r="E20" s="13"/>
      <c r="F20" s="13">
        <v>46829</v>
      </c>
      <c r="G20" s="300"/>
      <c r="H20" s="309">
        <f>E20+F20-G20</f>
        <v>46829</v>
      </c>
    </row>
    <row r="21" spans="1:8" ht="15.75">
      <c r="A21" s="9">
        <v>852</v>
      </c>
      <c r="B21" s="10"/>
      <c r="C21" s="11"/>
      <c r="D21" s="12" t="s">
        <v>67</v>
      </c>
      <c r="E21" s="13">
        <f>E22</f>
        <v>70145.69</v>
      </c>
      <c r="F21" s="13">
        <f t="shared" ref="F21:H22" si="7">F22</f>
        <v>0</v>
      </c>
      <c r="G21" s="13">
        <f t="shared" si="7"/>
        <v>0</v>
      </c>
      <c r="H21" s="310">
        <f t="shared" si="7"/>
        <v>70145.69</v>
      </c>
    </row>
    <row r="22" spans="1:8" ht="15.75">
      <c r="A22" s="44"/>
      <c r="B22" s="10">
        <v>85295</v>
      </c>
      <c r="C22" s="11"/>
      <c r="D22" s="12" t="s">
        <v>8</v>
      </c>
      <c r="E22" s="13">
        <f>E23</f>
        <v>70145.69</v>
      </c>
      <c r="F22" s="13">
        <f t="shared" si="7"/>
        <v>0</v>
      </c>
      <c r="G22" s="13">
        <f t="shared" si="7"/>
        <v>0</v>
      </c>
      <c r="H22" s="310">
        <f t="shared" si="7"/>
        <v>70145.69</v>
      </c>
    </row>
    <row r="23" spans="1:8" ht="63">
      <c r="A23" s="44"/>
      <c r="B23" s="10"/>
      <c r="C23" s="11">
        <v>2010</v>
      </c>
      <c r="D23" s="12" t="s">
        <v>9</v>
      </c>
      <c r="E23" s="183">
        <f>4392+65753.69</f>
        <v>70145.69</v>
      </c>
      <c r="F23" s="183"/>
      <c r="G23" s="183"/>
      <c r="H23" s="311">
        <f>E23+F23-G23</f>
        <v>70145.69</v>
      </c>
    </row>
    <row r="24" spans="1:8" ht="15.75">
      <c r="A24" s="44">
        <v>855</v>
      </c>
      <c r="B24" s="45"/>
      <c r="C24" s="46"/>
      <c r="D24" s="47" t="s">
        <v>80</v>
      </c>
      <c r="E24" s="75">
        <f>+E25+E29+E27</f>
        <v>5582741</v>
      </c>
      <c r="F24" s="75">
        <f t="shared" ref="F24:H24" si="8">+F25+F29+F27</f>
        <v>0</v>
      </c>
      <c r="G24" s="75">
        <f t="shared" si="8"/>
        <v>0</v>
      </c>
      <c r="H24" s="301">
        <f t="shared" si="8"/>
        <v>5582741</v>
      </c>
    </row>
    <row r="25" spans="1:8" ht="47.25">
      <c r="A25" s="44"/>
      <c r="B25" s="45">
        <v>85502</v>
      </c>
      <c r="C25" s="46"/>
      <c r="D25" s="47" t="s">
        <v>188</v>
      </c>
      <c r="E25" s="75">
        <f>E26</f>
        <v>5516142</v>
      </c>
      <c r="F25" s="75">
        <f t="shared" ref="F25:H25" si="9">F26</f>
        <v>0</v>
      </c>
      <c r="G25" s="75">
        <f t="shared" si="9"/>
        <v>0</v>
      </c>
      <c r="H25" s="301">
        <f t="shared" si="9"/>
        <v>5516142</v>
      </c>
    </row>
    <row r="26" spans="1:8" ht="63">
      <c r="A26" s="44"/>
      <c r="B26" s="45"/>
      <c r="C26" s="46">
        <v>2010</v>
      </c>
      <c r="D26" s="47" t="s">
        <v>9</v>
      </c>
      <c r="E26" s="75">
        <v>5516142</v>
      </c>
      <c r="F26" s="75"/>
      <c r="G26" s="75"/>
      <c r="H26" s="301">
        <v>5516142</v>
      </c>
    </row>
    <row r="27" spans="1:8" ht="15.75">
      <c r="A27" s="70"/>
      <c r="B27" s="10">
        <v>85503</v>
      </c>
      <c r="C27" s="11"/>
      <c r="D27" s="12" t="s">
        <v>354</v>
      </c>
      <c r="E27" s="13">
        <f>E28</f>
        <v>898</v>
      </c>
      <c r="F27" s="13">
        <f>F28</f>
        <v>0</v>
      </c>
      <c r="G27" s="13">
        <f>G28</f>
        <v>0</v>
      </c>
      <c r="H27" s="310">
        <f>H28</f>
        <v>898</v>
      </c>
    </row>
    <row r="28" spans="1:8" ht="63">
      <c r="A28" s="70"/>
      <c r="B28" s="10"/>
      <c r="C28" s="11">
        <v>2010</v>
      </c>
      <c r="D28" s="12" t="s">
        <v>9</v>
      </c>
      <c r="E28" s="183">
        <v>898</v>
      </c>
      <c r="F28" s="183"/>
      <c r="G28" s="183"/>
      <c r="H28" s="311">
        <f>E28+F28-G28</f>
        <v>898</v>
      </c>
    </row>
    <row r="29" spans="1:8" ht="47.25">
      <c r="A29" s="44"/>
      <c r="B29" s="45">
        <v>85513</v>
      </c>
      <c r="C29" s="46"/>
      <c r="D29" s="47" t="s">
        <v>82</v>
      </c>
      <c r="E29" s="75">
        <f>E30</f>
        <v>65701</v>
      </c>
      <c r="F29" s="75">
        <f t="shared" ref="F29:H29" si="10">F30</f>
        <v>0</v>
      </c>
      <c r="G29" s="75">
        <f t="shared" si="10"/>
        <v>0</v>
      </c>
      <c r="H29" s="301">
        <f t="shared" si="10"/>
        <v>65701</v>
      </c>
    </row>
    <row r="30" spans="1:8" ht="63">
      <c r="A30" s="336"/>
      <c r="B30" s="315"/>
      <c r="C30" s="316">
        <v>2010</v>
      </c>
      <c r="D30" s="317" t="s">
        <v>9</v>
      </c>
      <c r="E30" s="318">
        <v>65701</v>
      </c>
      <c r="F30" s="318"/>
      <c r="G30" s="318"/>
      <c r="H30" s="319">
        <v>65701</v>
      </c>
    </row>
    <row r="31" spans="1:8" ht="18.75">
      <c r="A31" s="320"/>
      <c r="B31" s="321"/>
      <c r="C31" s="322"/>
      <c r="D31" s="323" t="s">
        <v>91</v>
      </c>
      <c r="E31" s="324">
        <f>+E8+E24+E14+E21+E11</f>
        <v>6543082.7800000003</v>
      </c>
      <c r="F31" s="324">
        <f t="shared" ref="F31:H31" si="11">+F8+F24+F14+F21+F11</f>
        <v>46829</v>
      </c>
      <c r="G31" s="324">
        <f t="shared" si="11"/>
        <v>0</v>
      </c>
      <c r="H31" s="337">
        <f t="shared" si="11"/>
        <v>6589911.7800000003</v>
      </c>
    </row>
    <row r="32" spans="1:8" ht="18.75">
      <c r="A32" s="326"/>
      <c r="B32" s="327"/>
      <c r="C32" s="328"/>
      <c r="D32" s="329"/>
      <c r="E32" s="330"/>
      <c r="F32" s="330"/>
      <c r="G32" s="330"/>
      <c r="H32" s="330"/>
    </row>
    <row r="33" spans="1:8" ht="18.75">
      <c r="A33" s="326"/>
      <c r="B33" s="327"/>
      <c r="C33" s="328"/>
      <c r="D33" s="329"/>
      <c r="E33" s="330"/>
      <c r="F33" s="330"/>
      <c r="G33" s="330"/>
      <c r="H33" s="330"/>
    </row>
    <row r="34" spans="1:8" ht="18.75">
      <c r="A34" s="326"/>
      <c r="B34" s="327"/>
      <c r="C34" s="328"/>
      <c r="D34" s="329"/>
      <c r="E34" s="330"/>
      <c r="F34" s="330"/>
      <c r="G34" s="330"/>
      <c r="H34" s="330"/>
    </row>
    <row r="35" spans="1:8" ht="18.75">
      <c r="A35" s="326"/>
      <c r="B35" s="327"/>
      <c r="C35" s="328"/>
      <c r="D35" s="329"/>
      <c r="E35" s="330"/>
      <c r="F35" s="330"/>
      <c r="G35" s="330"/>
      <c r="H35" s="330"/>
    </row>
    <row r="36" spans="1:8" ht="8.25" customHeight="1">
      <c r="A36" s="32"/>
      <c r="B36" s="32"/>
      <c r="C36" s="32"/>
      <c r="D36" s="32"/>
      <c r="E36" s="32"/>
      <c r="H36" s="330"/>
    </row>
    <row r="37" spans="1:8" ht="12" customHeight="1">
      <c r="A37" s="32"/>
      <c r="B37" s="32"/>
      <c r="C37" s="32"/>
      <c r="D37" s="32"/>
      <c r="E37" s="32"/>
      <c r="H37" s="330"/>
    </row>
    <row r="38" spans="1:8" ht="18.75">
      <c r="A38" s="32"/>
      <c r="B38" s="33" t="s">
        <v>184</v>
      </c>
      <c r="C38" s="571" t="s">
        <v>190</v>
      </c>
      <c r="D38" s="572"/>
      <c r="E38" s="572"/>
    </row>
    <row r="39" spans="1:8" ht="6.75" customHeight="1">
      <c r="A39" s="32"/>
      <c r="B39" s="32"/>
      <c r="C39" s="32"/>
      <c r="D39" s="32"/>
      <c r="E39" s="32"/>
      <c r="H39" s="308"/>
    </row>
    <row r="40" spans="1:8" ht="22.5" customHeight="1">
      <c r="A40" s="39">
        <v>801</v>
      </c>
      <c r="B40" s="40"/>
      <c r="C40" s="41"/>
      <c r="D40" s="42" t="s">
        <v>58</v>
      </c>
      <c r="E40" s="43">
        <f>+E43+E45+E41</f>
        <v>905000</v>
      </c>
      <c r="F40" s="43">
        <f>+F43+F45+F41</f>
        <v>0</v>
      </c>
      <c r="G40" s="43">
        <f>+G43+G45+G41</f>
        <v>0</v>
      </c>
      <c r="H40" s="43">
        <f>+H43+H45+H41</f>
        <v>905000</v>
      </c>
    </row>
    <row r="41" spans="1:8" ht="22.5" customHeight="1">
      <c r="A41" s="44"/>
      <c r="B41" s="45">
        <v>80103</v>
      </c>
      <c r="C41" s="46"/>
      <c r="D41" s="47" t="s">
        <v>60</v>
      </c>
      <c r="E41" s="48">
        <f>E42</f>
        <v>30000</v>
      </c>
      <c r="F41" s="48">
        <f t="shared" ref="F41:H41" si="12">F42</f>
        <v>0</v>
      </c>
      <c r="G41" s="48">
        <f t="shared" si="12"/>
        <v>0</v>
      </c>
      <c r="H41" s="48">
        <f t="shared" si="12"/>
        <v>30000</v>
      </c>
    </row>
    <row r="42" spans="1:8" ht="47.25">
      <c r="A42" s="44"/>
      <c r="B42" s="45"/>
      <c r="C42" s="46">
        <v>2310</v>
      </c>
      <c r="D42" s="47" t="s">
        <v>61</v>
      </c>
      <c r="E42" s="48">
        <v>30000</v>
      </c>
      <c r="F42" s="48"/>
      <c r="G42" s="48"/>
      <c r="H42" s="48">
        <f>E42+F42-G42</f>
        <v>30000</v>
      </c>
    </row>
    <row r="43" spans="1:8" ht="15.75">
      <c r="A43" s="44"/>
      <c r="B43" s="45">
        <v>80104</v>
      </c>
      <c r="C43" s="46"/>
      <c r="D43" s="47" t="s">
        <v>62</v>
      </c>
      <c r="E43" s="48">
        <f>E44</f>
        <v>850000</v>
      </c>
      <c r="F43" s="48">
        <f t="shared" ref="F43:H43" si="13">F44</f>
        <v>0</v>
      </c>
      <c r="G43" s="48">
        <f t="shared" si="13"/>
        <v>0</v>
      </c>
      <c r="H43" s="48">
        <f t="shared" si="13"/>
        <v>850000</v>
      </c>
    </row>
    <row r="44" spans="1:8" ht="47.25">
      <c r="A44" s="49"/>
      <c r="B44" s="50"/>
      <c r="C44" s="51">
        <v>2310</v>
      </c>
      <c r="D44" s="54" t="s">
        <v>61</v>
      </c>
      <c r="E44" s="55">
        <v>850000</v>
      </c>
      <c r="F44" s="55"/>
      <c r="G44" s="55"/>
      <c r="H44" s="55">
        <f>E44+F44-G44</f>
        <v>850000</v>
      </c>
    </row>
    <row r="45" spans="1:8" ht="15.75">
      <c r="A45" s="39"/>
      <c r="B45" s="40">
        <v>80106</v>
      </c>
      <c r="C45" s="41"/>
      <c r="D45" s="42" t="s">
        <v>66</v>
      </c>
      <c r="E45" s="43">
        <f>E46</f>
        <v>25000</v>
      </c>
      <c r="F45" s="43">
        <f t="shared" ref="F45:H45" si="14">F46</f>
        <v>0</v>
      </c>
      <c r="G45" s="43">
        <f t="shared" si="14"/>
        <v>0</v>
      </c>
      <c r="H45" s="312">
        <f t="shared" si="14"/>
        <v>25000</v>
      </c>
    </row>
    <row r="46" spans="1:8" ht="47.25">
      <c r="A46" s="44"/>
      <c r="B46" s="45"/>
      <c r="C46" s="46">
        <v>2310</v>
      </c>
      <c r="D46" s="47" t="s">
        <v>61</v>
      </c>
      <c r="E46" s="48">
        <v>25000</v>
      </c>
      <c r="F46" s="48"/>
      <c r="G46" s="48"/>
      <c r="H46" s="313">
        <f>E46+F46-G46</f>
        <v>25000</v>
      </c>
    </row>
    <row r="47" spans="1:8" ht="15.75">
      <c r="A47" s="44">
        <v>926</v>
      </c>
      <c r="B47" s="45"/>
      <c r="C47" s="46"/>
      <c r="D47" s="47" t="s">
        <v>89</v>
      </c>
      <c r="E47" s="48">
        <f>E48</f>
        <v>20000</v>
      </c>
      <c r="F47" s="48">
        <f t="shared" ref="F47:H47" si="15">F48</f>
        <v>0</v>
      </c>
      <c r="G47" s="48">
        <f t="shared" si="15"/>
        <v>0</v>
      </c>
      <c r="H47" s="313">
        <f t="shared" si="15"/>
        <v>20000</v>
      </c>
    </row>
    <row r="48" spans="1:8" ht="15.75">
      <c r="A48" s="44"/>
      <c r="B48" s="45">
        <v>92695</v>
      </c>
      <c r="C48" s="46"/>
      <c r="D48" s="47" t="s">
        <v>8</v>
      </c>
      <c r="E48" s="48">
        <v>20000</v>
      </c>
      <c r="F48" s="48"/>
      <c r="G48" s="48"/>
      <c r="H48" s="313">
        <v>20000</v>
      </c>
    </row>
    <row r="49" spans="1:8" ht="47.25">
      <c r="A49" s="44"/>
      <c r="B49" s="45"/>
      <c r="C49" s="46">
        <v>2310</v>
      </c>
      <c r="D49" s="47" t="s">
        <v>61</v>
      </c>
      <c r="E49" s="48">
        <v>20000</v>
      </c>
      <c r="F49" s="48"/>
      <c r="G49" s="48"/>
      <c r="H49" s="313">
        <v>20000</v>
      </c>
    </row>
    <row r="50" spans="1:8" ht="18.75">
      <c r="A50" s="49"/>
      <c r="B50" s="50"/>
      <c r="C50" s="51"/>
      <c r="D50" s="52" t="s">
        <v>91</v>
      </c>
      <c r="E50" s="53">
        <f>E40+E47</f>
        <v>925000</v>
      </c>
      <c r="F50" s="53">
        <f>F40+F47</f>
        <v>0</v>
      </c>
      <c r="G50" s="53">
        <f>G40+G47</f>
        <v>0</v>
      </c>
      <c r="H50" s="314">
        <f>H40+H47</f>
        <v>925000</v>
      </c>
    </row>
    <row r="51" spans="1:8">
      <c r="A51" s="32"/>
      <c r="B51" s="32"/>
      <c r="C51" s="32"/>
      <c r="D51" s="32"/>
      <c r="E51" s="32"/>
    </row>
    <row r="52" spans="1:8">
      <c r="A52" s="32"/>
      <c r="B52" s="32"/>
      <c r="C52" s="32"/>
      <c r="D52" s="32"/>
      <c r="E52" s="32"/>
    </row>
    <row r="53" spans="1:8" ht="18.75">
      <c r="A53" s="32"/>
      <c r="B53" s="33" t="s">
        <v>185</v>
      </c>
      <c r="C53" s="568" t="s">
        <v>186</v>
      </c>
      <c r="D53" s="568"/>
      <c r="E53" s="568"/>
    </row>
    <row r="54" spans="1:8">
      <c r="A54" s="32"/>
      <c r="B54" s="32"/>
      <c r="C54" s="32"/>
      <c r="D54" s="32"/>
      <c r="E54" s="32"/>
    </row>
    <row r="55" spans="1:8" ht="15.75">
      <c r="A55" s="39">
        <v>750</v>
      </c>
      <c r="B55" s="40"/>
      <c r="C55" s="41"/>
      <c r="D55" s="42" t="s">
        <v>28</v>
      </c>
      <c r="E55" s="43">
        <f>E56</f>
        <v>1412</v>
      </c>
    </row>
    <row r="56" spans="1:8" ht="15.75">
      <c r="A56" s="44"/>
      <c r="B56" s="45">
        <v>75011</v>
      </c>
      <c r="C56" s="46"/>
      <c r="D56" s="47" t="s">
        <v>29</v>
      </c>
      <c r="E56" s="48">
        <f>E57</f>
        <v>1412</v>
      </c>
    </row>
    <row r="57" spans="1:8" ht="15.75">
      <c r="A57" s="44"/>
      <c r="B57" s="45"/>
      <c r="C57" s="46">
        <v>970</v>
      </c>
      <c r="D57" s="47" t="s">
        <v>31</v>
      </c>
      <c r="E57" s="48">
        <v>1412</v>
      </c>
    </row>
    <row r="58" spans="1:8" ht="15.75">
      <c r="A58" s="44">
        <v>855</v>
      </c>
      <c r="B58" s="45"/>
      <c r="C58" s="46"/>
      <c r="D58" s="47" t="s">
        <v>80</v>
      </c>
      <c r="E58" s="48">
        <f>E59</f>
        <v>120000</v>
      </c>
    </row>
    <row r="59" spans="1:8" ht="50.25" customHeight="1">
      <c r="A59" s="44"/>
      <c r="B59" s="56">
        <v>85502</v>
      </c>
      <c r="C59" s="57"/>
      <c r="D59" s="58" t="s">
        <v>81</v>
      </c>
      <c r="E59" s="59">
        <f>E60</f>
        <v>120000</v>
      </c>
    </row>
    <row r="60" spans="1:8" ht="15.75">
      <c r="A60" s="44"/>
      <c r="B60" s="45"/>
      <c r="C60" s="46">
        <v>970</v>
      </c>
      <c r="D60" s="47" t="s">
        <v>31</v>
      </c>
      <c r="E60" s="48">
        <v>120000</v>
      </c>
    </row>
    <row r="61" spans="1:8" ht="18.75">
      <c r="A61" s="49"/>
      <c r="B61" s="50"/>
      <c r="C61" s="51"/>
      <c r="D61" s="52" t="s">
        <v>91</v>
      </c>
      <c r="E61" s="53">
        <f>E58+E55</f>
        <v>121412</v>
      </c>
    </row>
  </sheetData>
  <mergeCells count="4">
    <mergeCell ref="C53:E53"/>
    <mergeCell ref="C5:E5"/>
    <mergeCell ref="C38:E38"/>
    <mergeCell ref="C4:E4"/>
  </mergeCells>
  <conditionalFormatting sqref="A53:C53">
    <cfRule type="expression" dxfId="268" priority="61" stopIfTrue="1">
      <formula>$C53 = "OGÓŁEM:"</formula>
    </cfRule>
    <cfRule type="expression" dxfId="267" priority="62" stopIfTrue="1">
      <formula>LEN($A53)&gt;1</formula>
    </cfRule>
    <cfRule type="expression" dxfId="266" priority="63" stopIfTrue="1">
      <formula>LEN(#REF!)&gt;1</formula>
    </cfRule>
  </conditionalFormatting>
  <conditionalFormatting sqref="A39:E52 A54:E803">
    <cfRule type="expression" dxfId="265" priority="25" stopIfTrue="1">
      <formula>$D39 = "OGÓŁEM:"</formula>
    </cfRule>
    <cfRule type="expression" dxfId="264" priority="26" stopIfTrue="1">
      <formula>LEN($A39)&gt;1</formula>
    </cfRule>
    <cfRule type="expression" dxfId="263" priority="27" stopIfTrue="1">
      <formula>LEN($B39)&gt;1</formula>
    </cfRule>
  </conditionalFormatting>
  <conditionalFormatting sqref="A8:H28">
    <cfRule type="expression" dxfId="262" priority="1" stopIfTrue="1">
      <formula>$D8 = "OGÓŁEM:"</formula>
    </cfRule>
    <cfRule type="expression" dxfId="261" priority="2" stopIfTrue="1">
      <formula>LEN($A8)&gt;1</formula>
    </cfRule>
    <cfRule type="expression" dxfId="260" priority="3" stopIfTrue="1">
      <formula>LEN($B8)&gt;1</formula>
    </cfRule>
  </conditionalFormatting>
  <conditionalFormatting sqref="F29:H35 A29:E37 H36:H37">
    <cfRule type="expression" dxfId="259" priority="16" stopIfTrue="1">
      <formula>$D29 = "OGÓŁEM:"</formula>
    </cfRule>
    <cfRule type="expression" dxfId="258" priority="17" stopIfTrue="1">
      <formula>LEN($A29)&gt;1</formula>
    </cfRule>
    <cfRule type="expression" dxfId="257" priority="18" stopIfTrue="1">
      <formula>LEN($B29)&gt;1</formula>
    </cfRule>
  </conditionalFormatting>
  <conditionalFormatting sqref="F40:H50">
    <cfRule type="expression" dxfId="256" priority="22" stopIfTrue="1">
      <formula>$D40 = "OGÓŁEM:"</formula>
    </cfRule>
    <cfRule type="expression" dxfId="255" priority="23" stopIfTrue="1">
      <formula>LEN($A40)&gt;1</formula>
    </cfRule>
    <cfRule type="expression" dxfId="254" priority="24" stopIfTrue="1">
      <formula>LEN($B40)&gt;1</formula>
    </cfRule>
  </conditionalFormatting>
  <pageMargins left="0.11811023622047245" right="0.11811023622047245" top="0.74803149606299213" bottom="0.55118110236220474" header="0.31496062992125984" footer="0.31496062992125984"/>
  <pageSetup paperSize="9" scale="70" orientation="portrait" r:id="rId1"/>
  <headerFooter>
    <oddHeader xml:space="preserve">&amp;RZałącznik Nr 1a 
do Uchwały Nr II/..../2024 
Rady Gminy Komorniki z dnia 22 maja 2024r.    
w sprawie uchwały budżetowej na 2024r.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2A97A-A0F6-4CB5-89DC-A7B4C9F9C852}">
  <sheetPr>
    <pageSetUpPr fitToPage="1"/>
  </sheetPr>
  <dimension ref="A1:H40"/>
  <sheetViews>
    <sheetView topLeftCell="A22" workbookViewId="0">
      <selection activeCell="A29" sqref="A29:H30"/>
    </sheetView>
  </sheetViews>
  <sheetFormatPr defaultRowHeight="15"/>
  <cols>
    <col min="1" max="1" width="6.5703125" style="31" customWidth="1"/>
    <col min="2" max="2" width="7.28515625" style="31" customWidth="1"/>
    <col min="3" max="3" width="7.85546875" style="31" customWidth="1"/>
    <col min="4" max="4" width="70.42578125" style="31" customWidth="1"/>
    <col min="5" max="5" width="17.85546875" style="31" customWidth="1"/>
    <col min="6" max="6" width="16.42578125" style="31" customWidth="1"/>
    <col min="7" max="7" width="16.5703125" style="31" customWidth="1"/>
    <col min="8" max="8" width="17.28515625" style="31" customWidth="1"/>
    <col min="9" max="16384" width="9.140625" style="31"/>
  </cols>
  <sheetData>
    <row r="1" spans="1:8" ht="23.25">
      <c r="A1" s="575" t="s">
        <v>203</v>
      </c>
      <c r="B1" s="575"/>
      <c r="C1" s="575"/>
      <c r="D1" s="575"/>
      <c r="E1" s="575"/>
      <c r="F1" s="567"/>
      <c r="G1" s="567"/>
      <c r="H1" s="567"/>
    </row>
    <row r="3" spans="1:8" ht="56.25" customHeight="1">
      <c r="A3" s="34" t="s">
        <v>0</v>
      </c>
      <c r="B3" s="35" t="s">
        <v>1</v>
      </c>
      <c r="C3" s="36" t="s">
        <v>2</v>
      </c>
      <c r="D3" s="36" t="s">
        <v>3</v>
      </c>
      <c r="E3" s="36" t="s">
        <v>4</v>
      </c>
      <c r="F3" s="244" t="s">
        <v>326</v>
      </c>
      <c r="G3" s="244" t="s">
        <v>327</v>
      </c>
      <c r="H3" s="244" t="s">
        <v>328</v>
      </c>
    </row>
    <row r="4" spans="1:8">
      <c r="A4" s="37">
        <v>1</v>
      </c>
      <c r="B4" s="38">
        <v>2</v>
      </c>
      <c r="C4" s="38">
        <v>3</v>
      </c>
      <c r="D4" s="38">
        <v>4</v>
      </c>
      <c r="E4" s="38">
        <v>5</v>
      </c>
      <c r="F4" s="245">
        <v>6</v>
      </c>
      <c r="G4" s="245">
        <v>7</v>
      </c>
      <c r="H4" s="245">
        <v>8</v>
      </c>
    </row>
    <row r="5" spans="1:8" ht="15.75" hidden="1" customHeight="1">
      <c r="A5" s="60"/>
      <c r="B5" s="61"/>
      <c r="C5" s="61"/>
      <c r="D5" s="61"/>
      <c r="E5" s="61"/>
    </row>
    <row r="6" spans="1:8" ht="15.75">
      <c r="A6" s="44">
        <v>600</v>
      </c>
      <c r="B6" s="45"/>
      <c r="C6" s="46"/>
      <c r="D6" s="47" t="s">
        <v>12</v>
      </c>
      <c r="E6" s="75">
        <f>+E7+E9+E12</f>
        <v>13170973</v>
      </c>
      <c r="F6" s="75">
        <f t="shared" ref="F6:H6" si="0">+F7+F9+F12</f>
        <v>625598</v>
      </c>
      <c r="G6" s="75">
        <f t="shared" si="0"/>
        <v>0</v>
      </c>
      <c r="H6" s="75">
        <f t="shared" si="0"/>
        <v>13422292</v>
      </c>
    </row>
    <row r="7" spans="1:8" ht="15.75">
      <c r="A7" s="9"/>
      <c r="B7" s="10">
        <v>60014</v>
      </c>
      <c r="C7" s="11"/>
      <c r="D7" s="12" t="s">
        <v>15</v>
      </c>
      <c r="E7" s="13">
        <f>E8</f>
        <v>200000</v>
      </c>
      <c r="F7" s="13">
        <f t="shared" ref="F7:H7" si="1">F8</f>
        <v>0</v>
      </c>
      <c r="G7" s="13">
        <f t="shared" si="1"/>
        <v>0</v>
      </c>
      <c r="H7" s="13">
        <f t="shared" si="1"/>
        <v>200000</v>
      </c>
    </row>
    <row r="8" spans="1:8" ht="47.25">
      <c r="A8" s="70"/>
      <c r="B8" s="71"/>
      <c r="C8" s="11">
        <v>6300</v>
      </c>
      <c r="D8" s="12" t="s">
        <v>17</v>
      </c>
      <c r="E8" s="74">
        <v>200000</v>
      </c>
      <c r="F8" s="74"/>
      <c r="G8" s="74"/>
      <c r="H8" s="74">
        <f>E8+F8-G8</f>
        <v>200000</v>
      </c>
    </row>
    <row r="9" spans="1:8" ht="15.75">
      <c r="A9" s="44"/>
      <c r="B9" s="45">
        <v>60016</v>
      </c>
      <c r="C9" s="46"/>
      <c r="D9" s="47" t="s">
        <v>16</v>
      </c>
      <c r="E9" s="75">
        <f>SUM(E10:E11)</f>
        <v>12970973</v>
      </c>
      <c r="F9" s="75">
        <f>SUM(F10:F11)</f>
        <v>374279</v>
      </c>
      <c r="G9" s="75">
        <f>SUM(G10:G11)</f>
        <v>0</v>
      </c>
      <c r="H9" s="75">
        <f>SUM(H10:H11)</f>
        <v>12970973</v>
      </c>
    </row>
    <row r="10" spans="1:8" ht="31.5">
      <c r="A10" s="44"/>
      <c r="B10" s="45"/>
      <c r="C10" s="11">
        <v>6290</v>
      </c>
      <c r="D10" s="12" t="s">
        <v>208</v>
      </c>
      <c r="E10" s="75">
        <v>9970973</v>
      </c>
      <c r="F10" s="75">
        <v>374279</v>
      </c>
      <c r="G10" s="75"/>
      <c r="H10" s="75">
        <v>9970973</v>
      </c>
    </row>
    <row r="11" spans="1:8" ht="31.5">
      <c r="A11" s="44"/>
      <c r="B11" s="45"/>
      <c r="C11" s="46">
        <v>6370</v>
      </c>
      <c r="D11" s="47" t="s">
        <v>187</v>
      </c>
      <c r="E11" s="75">
        <v>3000000</v>
      </c>
      <c r="F11" s="75"/>
      <c r="G11" s="75"/>
      <c r="H11" s="75">
        <v>3000000</v>
      </c>
    </row>
    <row r="12" spans="1:8" ht="15.75">
      <c r="A12" s="70"/>
      <c r="B12" s="71">
        <v>60095</v>
      </c>
      <c r="C12" s="72"/>
      <c r="D12" s="73" t="s">
        <v>8</v>
      </c>
      <c r="E12" s="74">
        <f>SUM(E13)</f>
        <v>0</v>
      </c>
      <c r="F12" s="74">
        <f t="shared" ref="F12:H12" si="2">SUM(F13)</f>
        <v>251319</v>
      </c>
      <c r="G12" s="74">
        <f t="shared" si="2"/>
        <v>0</v>
      </c>
      <c r="H12" s="74">
        <f t="shared" si="2"/>
        <v>251319</v>
      </c>
    </row>
    <row r="13" spans="1:8" ht="63" customHeight="1">
      <c r="A13" s="70"/>
      <c r="B13" s="71"/>
      <c r="C13" s="72">
        <v>6207</v>
      </c>
      <c r="D13" s="73" t="s">
        <v>425</v>
      </c>
      <c r="E13" s="74"/>
      <c r="F13" s="496">
        <v>251319</v>
      </c>
      <c r="G13" s="75"/>
      <c r="H13" s="75">
        <f>E13+F13-G13</f>
        <v>251319</v>
      </c>
    </row>
    <row r="14" spans="1:8" ht="15.75">
      <c r="A14" s="44">
        <v>700</v>
      </c>
      <c r="B14" s="45"/>
      <c r="C14" s="46"/>
      <c r="D14" s="47" t="s">
        <v>18</v>
      </c>
      <c r="E14" s="75">
        <f>E15</f>
        <v>2000</v>
      </c>
      <c r="F14" s="75">
        <f t="shared" ref="F14:H14" si="3">F15</f>
        <v>0</v>
      </c>
      <c r="G14" s="75">
        <f t="shared" si="3"/>
        <v>0</v>
      </c>
      <c r="H14" s="75">
        <f t="shared" si="3"/>
        <v>2000</v>
      </c>
    </row>
    <row r="15" spans="1:8" ht="15.75">
      <c r="A15" s="44"/>
      <c r="B15" s="45">
        <v>70005</v>
      </c>
      <c r="C15" s="46"/>
      <c r="D15" s="47" t="s">
        <v>21</v>
      </c>
      <c r="E15" s="75">
        <f>SUM(E16:E16)</f>
        <v>2000</v>
      </c>
      <c r="F15" s="75">
        <f t="shared" ref="F15:H15" si="4">SUM(F16:F16)</f>
        <v>0</v>
      </c>
      <c r="G15" s="75">
        <f t="shared" si="4"/>
        <v>0</v>
      </c>
      <c r="H15" s="75">
        <f t="shared" si="4"/>
        <v>2000</v>
      </c>
    </row>
    <row r="16" spans="1:8" ht="31.5">
      <c r="A16" s="44"/>
      <c r="B16" s="45"/>
      <c r="C16" s="46">
        <v>760</v>
      </c>
      <c r="D16" s="47" t="s">
        <v>23</v>
      </c>
      <c r="E16" s="75">
        <v>2000</v>
      </c>
      <c r="F16" s="75"/>
      <c r="G16" s="75"/>
      <c r="H16" s="75">
        <f>E16+F16-G16</f>
        <v>2000</v>
      </c>
    </row>
    <row r="17" spans="1:8" ht="15.75">
      <c r="A17" s="44">
        <v>750</v>
      </c>
      <c r="B17" s="45"/>
      <c r="C17" s="46"/>
      <c r="D17" s="47" t="s">
        <v>28</v>
      </c>
      <c r="E17" s="75">
        <f>E18</f>
        <v>850000</v>
      </c>
      <c r="F17" s="75">
        <f t="shared" ref="F17:H17" si="5">F18</f>
        <v>1057825</v>
      </c>
      <c r="G17" s="75">
        <f t="shared" si="5"/>
        <v>850000</v>
      </c>
      <c r="H17" s="75">
        <f t="shared" si="5"/>
        <v>1057825</v>
      </c>
    </row>
    <row r="18" spans="1:8" ht="15.75">
      <c r="A18" s="44"/>
      <c r="B18" s="45">
        <v>75095</v>
      </c>
      <c r="C18" s="46"/>
      <c r="D18" s="47" t="s">
        <v>8</v>
      </c>
      <c r="E18" s="75">
        <f>SUM(E19:E22)</f>
        <v>850000</v>
      </c>
      <c r="F18" s="75">
        <f t="shared" ref="F18:H18" si="6">SUM(F19:F22)</f>
        <v>1057825</v>
      </c>
      <c r="G18" s="75">
        <f t="shared" si="6"/>
        <v>850000</v>
      </c>
      <c r="H18" s="75">
        <f t="shared" si="6"/>
        <v>1057825</v>
      </c>
    </row>
    <row r="19" spans="1:8" ht="61.5" customHeight="1">
      <c r="A19" s="44"/>
      <c r="B19" s="45"/>
      <c r="C19" s="46">
        <v>6207</v>
      </c>
      <c r="D19" s="73" t="s">
        <v>425</v>
      </c>
      <c r="E19" s="75"/>
      <c r="F19" s="75">
        <v>756500</v>
      </c>
      <c r="G19" s="75"/>
      <c r="H19" s="75">
        <f t="shared" ref="H19:H20" si="7">E19+F19-G19</f>
        <v>756500</v>
      </c>
    </row>
    <row r="20" spans="1:8" ht="64.5" customHeight="1">
      <c r="A20" s="44"/>
      <c r="B20" s="45"/>
      <c r="C20" s="46">
        <v>6209</v>
      </c>
      <c r="D20" s="73" t="s">
        <v>425</v>
      </c>
      <c r="E20" s="75"/>
      <c r="F20" s="75">
        <v>93500</v>
      </c>
      <c r="G20" s="75"/>
      <c r="H20" s="75">
        <f t="shared" si="7"/>
        <v>93500</v>
      </c>
    </row>
    <row r="21" spans="1:8" ht="63">
      <c r="A21" s="44"/>
      <c r="B21" s="45"/>
      <c r="C21" s="46">
        <v>6257</v>
      </c>
      <c r="D21" s="47" t="s">
        <v>27</v>
      </c>
      <c r="E21" s="75">
        <v>756500</v>
      </c>
      <c r="F21" s="75">
        <v>207825</v>
      </c>
      <c r="G21" s="75">
        <v>756500</v>
      </c>
      <c r="H21" s="75">
        <f>E21+F21-G21</f>
        <v>207825</v>
      </c>
    </row>
    <row r="22" spans="1:8" ht="63">
      <c r="A22" s="44"/>
      <c r="B22" s="45"/>
      <c r="C22" s="46">
        <v>6259</v>
      </c>
      <c r="D22" s="47" t="s">
        <v>27</v>
      </c>
      <c r="E22" s="75">
        <v>93500</v>
      </c>
      <c r="F22" s="75"/>
      <c r="G22" s="75">
        <v>93500</v>
      </c>
      <c r="H22" s="75">
        <f>E22+F22-G22</f>
        <v>0</v>
      </c>
    </row>
    <row r="23" spans="1:8" ht="15.75">
      <c r="A23" s="44">
        <v>801</v>
      </c>
      <c r="B23" s="45"/>
      <c r="C23" s="46"/>
      <c r="D23" s="47" t="s">
        <v>58</v>
      </c>
      <c r="E23" s="75">
        <f>E24+E26</f>
        <v>3000000</v>
      </c>
      <c r="F23" s="75">
        <f t="shared" ref="F23:H23" si="8">F24+F26</f>
        <v>94400</v>
      </c>
      <c r="G23" s="75">
        <f t="shared" si="8"/>
        <v>0</v>
      </c>
      <c r="H23" s="75">
        <f t="shared" si="8"/>
        <v>3094400</v>
      </c>
    </row>
    <row r="24" spans="1:8" ht="15.75">
      <c r="A24" s="44"/>
      <c r="B24" s="45">
        <v>80101</v>
      </c>
      <c r="C24" s="46"/>
      <c r="D24" s="47" t="s">
        <v>59</v>
      </c>
      <c r="E24" s="75">
        <f>E25</f>
        <v>3000000</v>
      </c>
      <c r="F24" s="75">
        <f t="shared" ref="F24:H24" si="9">F25</f>
        <v>0</v>
      </c>
      <c r="G24" s="75">
        <f t="shared" si="9"/>
        <v>0</v>
      </c>
      <c r="H24" s="75">
        <f t="shared" si="9"/>
        <v>3000000</v>
      </c>
    </row>
    <row r="25" spans="1:8" ht="31.5">
      <c r="A25" s="44"/>
      <c r="B25" s="45"/>
      <c r="C25" s="46">
        <v>6370</v>
      </c>
      <c r="D25" s="47" t="s">
        <v>187</v>
      </c>
      <c r="E25" s="75">
        <v>3000000</v>
      </c>
      <c r="F25" s="75"/>
      <c r="G25" s="75"/>
      <c r="H25" s="75">
        <f>E25+F25-G25</f>
        <v>3000000</v>
      </c>
    </row>
    <row r="26" spans="1:8" ht="15.75">
      <c r="A26" s="70"/>
      <c r="B26" s="71">
        <v>80195</v>
      </c>
      <c r="C26" s="72"/>
      <c r="D26" s="73" t="s">
        <v>8</v>
      </c>
      <c r="E26" s="74">
        <f>SUM(E27)</f>
        <v>0</v>
      </c>
      <c r="F26" s="74">
        <f t="shared" ref="F26:G26" si="10">SUM(F27)</f>
        <v>94400</v>
      </c>
      <c r="G26" s="74">
        <f t="shared" si="10"/>
        <v>0</v>
      </c>
      <c r="H26" s="74">
        <f>SUM(H27)</f>
        <v>94400</v>
      </c>
    </row>
    <row r="27" spans="1:8" ht="63">
      <c r="A27" s="44"/>
      <c r="B27" s="45"/>
      <c r="C27" s="46">
        <v>6257</v>
      </c>
      <c r="D27" s="47" t="s">
        <v>27</v>
      </c>
      <c r="E27" s="75"/>
      <c r="F27" s="75">
        <v>94400</v>
      </c>
      <c r="G27" s="75"/>
      <c r="H27" s="75">
        <f>E27+F27-G27</f>
        <v>94400</v>
      </c>
    </row>
    <row r="28" spans="1:8" ht="15.75">
      <c r="A28" s="9">
        <v>900</v>
      </c>
      <c r="B28" s="10"/>
      <c r="C28" s="11"/>
      <c r="D28" s="12" t="s">
        <v>84</v>
      </c>
      <c r="E28" s="13">
        <f>E29</f>
        <v>0</v>
      </c>
      <c r="F28" s="13">
        <f t="shared" ref="F28:G28" si="11">F29</f>
        <v>1343680</v>
      </c>
      <c r="G28" s="13">
        <f t="shared" si="11"/>
        <v>0</v>
      </c>
      <c r="H28" s="13">
        <f t="shared" ref="F28:H29" si="12">H29</f>
        <v>1343680</v>
      </c>
    </row>
    <row r="29" spans="1:8" ht="15.75">
      <c r="A29" s="9"/>
      <c r="B29" s="10">
        <v>90015</v>
      </c>
      <c r="C29" s="11"/>
      <c r="D29" s="12" t="s">
        <v>172</v>
      </c>
      <c r="E29" s="13">
        <f>E30</f>
        <v>0</v>
      </c>
      <c r="F29" s="13">
        <f t="shared" si="12"/>
        <v>1343680</v>
      </c>
      <c r="G29" s="13">
        <f t="shared" si="12"/>
        <v>0</v>
      </c>
      <c r="H29" s="13">
        <f t="shared" si="12"/>
        <v>1343680</v>
      </c>
    </row>
    <row r="30" spans="1:8" ht="31.5">
      <c r="A30" s="9"/>
      <c r="B30" s="10"/>
      <c r="C30" s="11">
        <v>6370</v>
      </c>
      <c r="D30" s="12" t="s">
        <v>187</v>
      </c>
      <c r="E30" s="13"/>
      <c r="F30" s="13">
        <v>1343680</v>
      </c>
      <c r="G30" s="13"/>
      <c r="H30" s="13">
        <f>E30+F30-G30</f>
        <v>1343680</v>
      </c>
    </row>
    <row r="31" spans="1:8" ht="15.75">
      <c r="A31" s="44">
        <v>921</v>
      </c>
      <c r="B31" s="45"/>
      <c r="C31" s="46"/>
      <c r="D31" s="47" t="s">
        <v>175</v>
      </c>
      <c r="E31" s="75">
        <f>E34+E32</f>
        <v>4842800</v>
      </c>
      <c r="F31" s="75">
        <f t="shared" ref="F31:H31" si="13">F34+F32</f>
        <v>0</v>
      </c>
      <c r="G31" s="75">
        <f t="shared" si="13"/>
        <v>0</v>
      </c>
      <c r="H31" s="75">
        <f t="shared" si="13"/>
        <v>4842800</v>
      </c>
    </row>
    <row r="32" spans="1:8" ht="15.75">
      <c r="A32" s="9"/>
      <c r="B32" s="10">
        <v>92109</v>
      </c>
      <c r="C32" s="11"/>
      <c r="D32" s="12" t="s">
        <v>177</v>
      </c>
      <c r="E32" s="13">
        <f>E33</f>
        <v>1000000</v>
      </c>
      <c r="F32" s="13">
        <f t="shared" ref="F32:H32" si="14">F33</f>
        <v>0</v>
      </c>
      <c r="G32" s="13">
        <f t="shared" si="14"/>
        <v>0</v>
      </c>
      <c r="H32" s="13">
        <f t="shared" si="14"/>
        <v>1000000</v>
      </c>
    </row>
    <row r="33" spans="1:8" ht="31.5">
      <c r="A33" s="44"/>
      <c r="B33" s="45"/>
      <c r="C33" s="46">
        <v>6370</v>
      </c>
      <c r="D33" s="47" t="s">
        <v>187</v>
      </c>
      <c r="E33" s="75">
        <v>1000000</v>
      </c>
      <c r="F33" s="75"/>
      <c r="G33" s="75"/>
      <c r="H33" s="75">
        <f>E33+F33-G33</f>
        <v>1000000</v>
      </c>
    </row>
    <row r="34" spans="1:8" ht="15.75">
      <c r="A34" s="44"/>
      <c r="B34" s="45">
        <v>92120</v>
      </c>
      <c r="C34" s="46"/>
      <c r="D34" s="12" t="s">
        <v>180</v>
      </c>
      <c r="E34" s="75">
        <f>SUM(E35:E36)</f>
        <v>3842800</v>
      </c>
      <c r="F34" s="75">
        <f t="shared" ref="F34:H34" si="15">SUM(F35:F36)</f>
        <v>0</v>
      </c>
      <c r="G34" s="75">
        <f t="shared" si="15"/>
        <v>0</v>
      </c>
      <c r="H34" s="75">
        <f t="shared" si="15"/>
        <v>3842800</v>
      </c>
    </row>
    <row r="35" spans="1:8" ht="47.25">
      <c r="A35" s="44"/>
      <c r="B35" s="45"/>
      <c r="C35" s="11">
        <v>6090</v>
      </c>
      <c r="D35" s="12" t="s">
        <v>220</v>
      </c>
      <c r="E35" s="75">
        <v>842800</v>
      </c>
      <c r="F35" s="75"/>
      <c r="G35" s="75"/>
      <c r="H35" s="75">
        <v>842800</v>
      </c>
    </row>
    <row r="36" spans="1:8" ht="31.5">
      <c r="A36" s="44"/>
      <c r="B36" s="45"/>
      <c r="C36" s="46">
        <v>6370</v>
      </c>
      <c r="D36" s="47" t="s">
        <v>187</v>
      </c>
      <c r="E36" s="75">
        <v>3000000</v>
      </c>
      <c r="F36" s="75"/>
      <c r="G36" s="75"/>
      <c r="H36" s="75">
        <v>3000000</v>
      </c>
    </row>
    <row r="37" spans="1:8" ht="22.5" customHeight="1">
      <c r="A37" s="76"/>
      <c r="B37" s="77"/>
      <c r="C37" s="78"/>
      <c r="D37" s="79" t="s">
        <v>91</v>
      </c>
      <c r="E37" s="80">
        <f>E6+E14+E17+E31+E23+E28</f>
        <v>21865773</v>
      </c>
      <c r="F37" s="80">
        <f t="shared" ref="F37:H37" si="16">F6+F14+F17+F31+F23+F28</f>
        <v>3121503</v>
      </c>
      <c r="G37" s="80">
        <f t="shared" si="16"/>
        <v>850000</v>
      </c>
      <c r="H37" s="80">
        <f t="shared" si="16"/>
        <v>23762997</v>
      </c>
    </row>
    <row r="40" spans="1:8">
      <c r="F40" s="497">
        <f>F37-G37</f>
        <v>2271503</v>
      </c>
    </row>
  </sheetData>
  <mergeCells count="1">
    <mergeCell ref="A1:H1"/>
  </mergeCells>
  <conditionalFormatting sqref="A30:E832">
    <cfRule type="expression" dxfId="253" priority="4" stopIfTrue="1">
      <formula>$D30 = "OGÓŁEM:"</formula>
    </cfRule>
    <cfRule type="expression" dxfId="252" priority="5" stopIfTrue="1">
      <formula>LEN($A30)&gt;1</formula>
    </cfRule>
    <cfRule type="expression" dxfId="251" priority="6" stopIfTrue="1">
      <formula>LEN($B30)&gt;1</formula>
    </cfRule>
  </conditionalFormatting>
  <conditionalFormatting sqref="A6:H29">
    <cfRule type="expression" dxfId="250" priority="1" stopIfTrue="1">
      <formula>$D6 = "OGÓŁEM:"</formula>
    </cfRule>
    <cfRule type="expression" dxfId="249" priority="2" stopIfTrue="1">
      <formula>LEN($A6)&gt;1</formula>
    </cfRule>
    <cfRule type="expression" dxfId="248" priority="3" stopIfTrue="1">
      <formula>LEN($B6)&gt;1</formula>
    </cfRule>
  </conditionalFormatting>
  <conditionalFormatting sqref="F30:H37">
    <cfRule type="expression" dxfId="247" priority="16" stopIfTrue="1">
      <formula>$D30 = "OGÓŁEM:"</formula>
    </cfRule>
    <cfRule type="expression" dxfId="246" priority="17" stopIfTrue="1">
      <formula>LEN($A30)&gt;1</formula>
    </cfRule>
    <cfRule type="expression" dxfId="245" priority="18" stopIfTrue="1">
      <formula>LEN($B30)&gt;1</formula>
    </cfRule>
  </conditionalFormatting>
  <pageMargins left="0.31496062992125984" right="0.31496062992125984" top="0.94488188976377963" bottom="0.74803149606299213" header="0.31496062992125984" footer="0.31496062992125984"/>
  <pageSetup paperSize="9" scale="60" orientation="portrait" r:id="rId1"/>
  <headerFooter>
    <oddHeader xml:space="preserve">&amp;RZałącznik Nr 1b 
do Uchwały Nr II/.../2024 
Rady Gminy Komorniki z dnia 22 maja 2024r.    
w sprawie uchwały budżetowej na 2024r.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H602"/>
  <sheetViews>
    <sheetView tabSelected="1" topLeftCell="A573" zoomScale="75" zoomScaleNormal="75" zoomScaleSheetLayoutView="75" workbookViewId="0">
      <selection activeCell="F601" sqref="F601:H602"/>
    </sheetView>
  </sheetViews>
  <sheetFormatPr defaultRowHeight="15"/>
  <cols>
    <col min="1" max="1" width="6.140625" customWidth="1"/>
    <col min="2" max="2" width="6.85546875" customWidth="1"/>
    <col min="3" max="3" width="7" customWidth="1"/>
    <col min="4" max="4" width="64.140625" customWidth="1"/>
    <col min="5" max="5" width="16.28515625" customWidth="1"/>
    <col min="6" max="6" width="15" customWidth="1"/>
    <col min="7" max="7" width="16.42578125" customWidth="1"/>
    <col min="8" max="8" width="16.140625" customWidth="1"/>
    <col min="12" max="12" width="9.140625" customWidth="1"/>
  </cols>
  <sheetData>
    <row r="1" spans="1:8" ht="23.25">
      <c r="A1" s="566" t="s">
        <v>205</v>
      </c>
      <c r="B1" s="566"/>
      <c r="C1" s="566"/>
      <c r="D1" s="566"/>
      <c r="E1" s="566"/>
      <c r="F1" s="576"/>
      <c r="G1" s="576"/>
      <c r="H1" s="576"/>
    </row>
    <row r="2" spans="1:8" ht="9.75" customHeight="1"/>
    <row r="3" spans="1:8" ht="58.5" customHeight="1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244" t="s">
        <v>326</v>
      </c>
      <c r="G3" s="244" t="s">
        <v>327</v>
      </c>
      <c r="H3" s="338" t="s">
        <v>328</v>
      </c>
    </row>
    <row r="4" spans="1:8">
      <c r="A4" s="5">
        <v>1</v>
      </c>
      <c r="B4" s="6">
        <v>2</v>
      </c>
      <c r="C4" s="6">
        <v>3</v>
      </c>
      <c r="D4" s="6">
        <v>4</v>
      </c>
      <c r="E4" s="6">
        <v>5</v>
      </c>
      <c r="F4" s="245">
        <v>6</v>
      </c>
      <c r="G4" s="245">
        <v>7</v>
      </c>
      <c r="H4" s="307">
        <v>8</v>
      </c>
    </row>
    <row r="5" spans="1:8" ht="40.5" hidden="1" customHeight="1">
      <c r="A5" s="67"/>
      <c r="B5" s="68"/>
      <c r="C5" s="68"/>
      <c r="D5" s="68"/>
      <c r="E5" s="68"/>
      <c r="H5" s="339"/>
    </row>
    <row r="6" spans="1:8" ht="15.75">
      <c r="A6" s="9">
        <v>10</v>
      </c>
      <c r="B6" s="10"/>
      <c r="C6" s="11"/>
      <c r="D6" s="12" t="s">
        <v>5</v>
      </c>
      <c r="E6" s="13">
        <f>E7+E10+E12+E14+E17</f>
        <v>1154382.0900000001</v>
      </c>
      <c r="F6" s="13">
        <f t="shared" ref="F6:H6" si="0">F7+F10+F12+F14+F17</f>
        <v>0</v>
      </c>
      <c r="G6" s="13">
        <f t="shared" si="0"/>
        <v>0</v>
      </c>
      <c r="H6" s="310">
        <f t="shared" si="0"/>
        <v>1154382.0900000001</v>
      </c>
    </row>
    <row r="7" spans="1:8" ht="15.75">
      <c r="A7" s="9"/>
      <c r="B7" s="10">
        <v>1008</v>
      </c>
      <c r="C7" s="11"/>
      <c r="D7" s="12" t="s">
        <v>92</v>
      </c>
      <c r="E7" s="13">
        <f>SUM(E8:E9)</f>
        <v>619000</v>
      </c>
      <c r="F7" s="13">
        <f t="shared" ref="F7:H7" si="1">SUM(F8:F9)</f>
        <v>0</v>
      </c>
      <c r="G7" s="13">
        <f t="shared" si="1"/>
        <v>0</v>
      </c>
      <c r="H7" s="310">
        <f t="shared" si="1"/>
        <v>619000</v>
      </c>
    </row>
    <row r="8" spans="1:8" ht="15.75">
      <c r="A8" s="9"/>
      <c r="B8" s="10"/>
      <c r="C8" s="11">
        <v>4300</v>
      </c>
      <c r="D8" s="12" t="s">
        <v>93</v>
      </c>
      <c r="E8" s="13">
        <v>520000</v>
      </c>
      <c r="F8" s="13"/>
      <c r="G8" s="13"/>
      <c r="H8" s="310">
        <f>E8+F8-G8</f>
        <v>520000</v>
      </c>
    </row>
    <row r="9" spans="1:8" ht="15.75">
      <c r="A9" s="9"/>
      <c r="B9" s="10"/>
      <c r="C9" s="11">
        <v>6050</v>
      </c>
      <c r="D9" s="12" t="s">
        <v>98</v>
      </c>
      <c r="E9" s="13">
        <v>99000</v>
      </c>
      <c r="F9" s="13"/>
      <c r="G9" s="13"/>
      <c r="H9" s="310">
        <f>E9+F9-G9</f>
        <v>99000</v>
      </c>
    </row>
    <row r="10" spans="1:8" ht="15.75">
      <c r="A10" s="9"/>
      <c r="B10" s="10">
        <v>1009</v>
      </c>
      <c r="C10" s="11"/>
      <c r="D10" s="12" t="s">
        <v>94</v>
      </c>
      <c r="E10" s="13">
        <f>E11</f>
        <v>140000</v>
      </c>
      <c r="F10" s="13">
        <f t="shared" ref="F10:H10" si="2">F11</f>
        <v>0</v>
      </c>
      <c r="G10" s="13">
        <f t="shared" si="2"/>
        <v>0</v>
      </c>
      <c r="H10" s="310">
        <f t="shared" si="2"/>
        <v>140000</v>
      </c>
    </row>
    <row r="11" spans="1:8" ht="15.75">
      <c r="A11" s="9"/>
      <c r="B11" s="10"/>
      <c r="C11" s="11">
        <v>4430</v>
      </c>
      <c r="D11" s="12" t="s">
        <v>95</v>
      </c>
      <c r="E11" s="13">
        <v>140000</v>
      </c>
      <c r="F11" s="13"/>
      <c r="G11" s="13"/>
      <c r="H11" s="310">
        <f>E11+F11-G11</f>
        <v>140000</v>
      </c>
    </row>
    <row r="12" spans="1:8" ht="15.75">
      <c r="A12" s="62"/>
      <c r="B12" s="10">
        <v>1030</v>
      </c>
      <c r="C12" s="11"/>
      <c r="D12" s="12" t="s">
        <v>96</v>
      </c>
      <c r="E12" s="13">
        <f>E13</f>
        <v>8400</v>
      </c>
      <c r="F12" s="13">
        <f t="shared" ref="F12:H12" si="3">F13</f>
        <v>0</v>
      </c>
      <c r="G12" s="13">
        <f t="shared" si="3"/>
        <v>0</v>
      </c>
      <c r="H12" s="310">
        <f t="shared" si="3"/>
        <v>8400</v>
      </c>
    </row>
    <row r="13" spans="1:8" ht="31.5">
      <c r="A13" s="62"/>
      <c r="B13" s="10"/>
      <c r="C13" s="11">
        <v>2850</v>
      </c>
      <c r="D13" s="12" t="s">
        <v>97</v>
      </c>
      <c r="E13" s="13">
        <v>8400</v>
      </c>
      <c r="F13" s="13"/>
      <c r="G13" s="13"/>
      <c r="H13" s="310">
        <f>E13+F13-G13</f>
        <v>8400</v>
      </c>
    </row>
    <row r="14" spans="1:8" ht="15.75">
      <c r="A14" s="9"/>
      <c r="B14" s="10">
        <v>1044</v>
      </c>
      <c r="C14" s="11"/>
      <c r="D14" s="12" t="s">
        <v>6</v>
      </c>
      <c r="E14" s="13">
        <f>SUM(E15:E16)</f>
        <v>230000</v>
      </c>
      <c r="F14" s="13">
        <f t="shared" ref="F14:H14" si="4">SUM(F15:F16)</f>
        <v>0</v>
      </c>
      <c r="G14" s="13">
        <f t="shared" si="4"/>
        <v>0</v>
      </c>
      <c r="H14" s="310">
        <f t="shared" si="4"/>
        <v>230000</v>
      </c>
    </row>
    <row r="15" spans="1:8" ht="15.75">
      <c r="A15" s="9"/>
      <c r="B15" s="10"/>
      <c r="C15" s="11">
        <v>4300</v>
      </c>
      <c r="D15" s="12" t="s">
        <v>93</v>
      </c>
      <c r="E15" s="13">
        <v>30000</v>
      </c>
      <c r="F15" s="13"/>
      <c r="G15" s="13"/>
      <c r="H15" s="310">
        <v>30000</v>
      </c>
    </row>
    <row r="16" spans="1:8" ht="15.75">
      <c r="A16" s="9"/>
      <c r="B16" s="10"/>
      <c r="C16" s="11">
        <v>6050</v>
      </c>
      <c r="D16" s="12" t="s">
        <v>98</v>
      </c>
      <c r="E16" s="13">
        <v>200000</v>
      </c>
      <c r="F16" s="13"/>
      <c r="G16" s="13"/>
      <c r="H16" s="310">
        <v>200000</v>
      </c>
    </row>
    <row r="17" spans="1:8" ht="15.75">
      <c r="A17" s="9"/>
      <c r="B17" s="10">
        <v>1095</v>
      </c>
      <c r="C17" s="11"/>
      <c r="D17" s="12" t="s">
        <v>8</v>
      </c>
      <c r="E17" s="13">
        <f>SUM(E18:E24)</f>
        <v>156982.09</v>
      </c>
      <c r="F17" s="13">
        <f t="shared" ref="F17:H17" si="5">SUM(F18:F24)</f>
        <v>0</v>
      </c>
      <c r="G17" s="13">
        <f t="shared" si="5"/>
        <v>0</v>
      </c>
      <c r="H17" s="310">
        <f t="shared" si="5"/>
        <v>156982.09</v>
      </c>
    </row>
    <row r="18" spans="1:8" ht="15.75">
      <c r="A18" s="9"/>
      <c r="B18" s="10"/>
      <c r="C18" s="11">
        <v>4110</v>
      </c>
      <c r="D18" s="12" t="s">
        <v>99</v>
      </c>
      <c r="E18" s="13">
        <f>500+339.33</f>
        <v>839.32999999999993</v>
      </c>
      <c r="F18" s="13"/>
      <c r="G18" s="13"/>
      <c r="H18" s="310">
        <f>E18+F18-G18</f>
        <v>839.32999999999993</v>
      </c>
    </row>
    <row r="19" spans="1:8" ht="15.75">
      <c r="A19" s="9"/>
      <c r="B19" s="10"/>
      <c r="C19" s="11">
        <v>4120</v>
      </c>
      <c r="D19" s="12" t="s">
        <v>100</v>
      </c>
      <c r="E19" s="13">
        <f>49.11</f>
        <v>49.11</v>
      </c>
      <c r="F19" s="13"/>
      <c r="G19" s="13"/>
      <c r="H19" s="310">
        <f t="shared" ref="H19:H24" si="6">E19+F19-G19</f>
        <v>49.11</v>
      </c>
    </row>
    <row r="20" spans="1:8" ht="15.75">
      <c r="A20" s="9"/>
      <c r="B20" s="10"/>
      <c r="C20" s="11">
        <v>4170</v>
      </c>
      <c r="D20" s="12" t="s">
        <v>101</v>
      </c>
      <c r="E20" s="13">
        <f>3000+2004.32</f>
        <v>5004.32</v>
      </c>
      <c r="F20" s="13"/>
      <c r="G20" s="13"/>
      <c r="H20" s="310">
        <f t="shared" si="6"/>
        <v>5004.32</v>
      </c>
    </row>
    <row r="21" spans="1:8" ht="15.75">
      <c r="A21" s="9"/>
      <c r="B21" s="10"/>
      <c r="C21" s="11">
        <v>4210</v>
      </c>
      <c r="D21" s="12" t="s">
        <v>102</v>
      </c>
      <c r="E21" s="13">
        <f>18.2</f>
        <v>18.2</v>
      </c>
      <c r="F21" s="13"/>
      <c r="G21" s="13"/>
      <c r="H21" s="310">
        <f t="shared" si="6"/>
        <v>18.2</v>
      </c>
    </row>
    <row r="22" spans="1:8" ht="15.75">
      <c r="A22" s="9"/>
      <c r="B22" s="10"/>
      <c r="C22" s="11">
        <v>4300</v>
      </c>
      <c r="D22" s="12" t="s">
        <v>93</v>
      </c>
      <c r="E22" s="13">
        <f>3000+509.6</f>
        <v>3509.6</v>
      </c>
      <c r="F22" s="13"/>
      <c r="G22" s="13"/>
      <c r="H22" s="310">
        <f t="shared" si="6"/>
        <v>3509.6</v>
      </c>
    </row>
    <row r="23" spans="1:8" ht="15.75">
      <c r="A23" s="9"/>
      <c r="B23" s="10"/>
      <c r="C23" s="11">
        <v>4430</v>
      </c>
      <c r="D23" s="12" t="s">
        <v>95</v>
      </c>
      <c r="E23" s="13">
        <f>147531.46</f>
        <v>147531.46</v>
      </c>
      <c r="F23" s="13"/>
      <c r="G23" s="13"/>
      <c r="H23" s="310">
        <f t="shared" si="6"/>
        <v>147531.46</v>
      </c>
    </row>
    <row r="24" spans="1:8" ht="15.75">
      <c r="A24" s="9"/>
      <c r="B24" s="10"/>
      <c r="C24" s="11">
        <v>4710</v>
      </c>
      <c r="D24" s="12" t="s">
        <v>103</v>
      </c>
      <c r="E24" s="13">
        <f>30.07</f>
        <v>30.07</v>
      </c>
      <c r="F24" s="13"/>
      <c r="G24" s="13"/>
      <c r="H24" s="310">
        <f t="shared" si="6"/>
        <v>30.07</v>
      </c>
    </row>
    <row r="25" spans="1:8" ht="21.75" customHeight="1">
      <c r="A25" s="9">
        <v>400</v>
      </c>
      <c r="B25" s="10"/>
      <c r="C25" s="11"/>
      <c r="D25" s="12" t="s">
        <v>104</v>
      </c>
      <c r="E25" s="13">
        <f>E26+E28</f>
        <v>1020000</v>
      </c>
      <c r="F25" s="13">
        <f t="shared" ref="F25:H25" si="7">F26+F28</f>
        <v>0</v>
      </c>
      <c r="G25" s="13">
        <f t="shared" si="7"/>
        <v>0</v>
      </c>
      <c r="H25" s="310">
        <f t="shared" si="7"/>
        <v>1020000</v>
      </c>
    </row>
    <row r="26" spans="1:8" ht="15.75">
      <c r="A26" s="9"/>
      <c r="B26" s="10">
        <v>40002</v>
      </c>
      <c r="C26" s="11"/>
      <c r="D26" s="12" t="s">
        <v>105</v>
      </c>
      <c r="E26" s="13">
        <f>SUM(E27)</f>
        <v>470000</v>
      </c>
      <c r="F26" s="13">
        <f t="shared" ref="F26:G26" si="8">SUM(F27)</f>
        <v>0</v>
      </c>
      <c r="G26" s="13">
        <f t="shared" si="8"/>
        <v>0</v>
      </c>
      <c r="H26" s="310">
        <v>470000</v>
      </c>
    </row>
    <row r="27" spans="1:8" ht="15.75">
      <c r="A27" s="9"/>
      <c r="B27" s="10"/>
      <c r="C27" s="11">
        <v>4300</v>
      </c>
      <c r="D27" s="12" t="s">
        <v>93</v>
      </c>
      <c r="E27" s="13">
        <v>470000</v>
      </c>
      <c r="F27" s="13"/>
      <c r="G27" s="13"/>
      <c r="H27" s="310">
        <v>470000</v>
      </c>
    </row>
    <row r="28" spans="1:8" ht="15.75">
      <c r="A28" s="9"/>
      <c r="B28" s="10">
        <v>40095</v>
      </c>
      <c r="C28" s="11"/>
      <c r="D28" s="12" t="s">
        <v>8</v>
      </c>
      <c r="E28" s="13">
        <f>SUM(E29:E30)</f>
        <v>550000</v>
      </c>
      <c r="F28" s="13">
        <f t="shared" ref="F28:H28" si="9">SUM(F29:F30)</f>
        <v>0</v>
      </c>
      <c r="G28" s="13">
        <f t="shared" si="9"/>
        <v>0</v>
      </c>
      <c r="H28" s="310">
        <f t="shared" si="9"/>
        <v>550000</v>
      </c>
    </row>
    <row r="29" spans="1:8" ht="15.75">
      <c r="A29" s="9"/>
      <c r="B29" s="10"/>
      <c r="C29" s="11">
        <v>4210</v>
      </c>
      <c r="D29" s="12" t="s">
        <v>102</v>
      </c>
      <c r="E29" s="13">
        <v>500000</v>
      </c>
      <c r="F29" s="13"/>
      <c r="G29" s="13"/>
      <c r="H29" s="310">
        <v>500000</v>
      </c>
    </row>
    <row r="30" spans="1:8" ht="15.75">
      <c r="A30" s="9"/>
      <c r="B30" s="10"/>
      <c r="C30" s="11">
        <v>4300</v>
      </c>
      <c r="D30" s="12" t="s">
        <v>93</v>
      </c>
      <c r="E30" s="13">
        <v>50000</v>
      </c>
      <c r="F30" s="13"/>
      <c r="G30" s="13"/>
      <c r="H30" s="310">
        <v>50000</v>
      </c>
    </row>
    <row r="31" spans="1:8" ht="15.75">
      <c r="A31" s="9">
        <v>600</v>
      </c>
      <c r="B31" s="10"/>
      <c r="C31" s="11"/>
      <c r="D31" s="12" t="s">
        <v>12</v>
      </c>
      <c r="E31" s="13">
        <f>E32+E34+E39+E43+E51</f>
        <v>45005814</v>
      </c>
      <c r="F31" s="13">
        <f t="shared" ref="F31:H31" si="10">F32+F34+F39+F43+F51</f>
        <v>1932000</v>
      </c>
      <c r="G31" s="13">
        <f t="shared" si="10"/>
        <v>0</v>
      </c>
      <c r="H31" s="310">
        <f t="shared" si="10"/>
        <v>46937814</v>
      </c>
    </row>
    <row r="32" spans="1:8" ht="15.75">
      <c r="A32" s="9"/>
      <c r="B32" s="10">
        <v>60001</v>
      </c>
      <c r="C32" s="11"/>
      <c r="D32" s="12" t="s">
        <v>13</v>
      </c>
      <c r="E32" s="13">
        <f>SUM(E33)</f>
        <v>293275</v>
      </c>
      <c r="F32" s="13">
        <f t="shared" ref="F32:H32" si="11">SUM(F33)</f>
        <v>0</v>
      </c>
      <c r="G32" s="13">
        <f t="shared" si="11"/>
        <v>0</v>
      </c>
      <c r="H32" s="310">
        <f t="shared" si="11"/>
        <v>293275</v>
      </c>
    </row>
    <row r="33" spans="1:8" ht="47.25">
      <c r="A33" s="9"/>
      <c r="B33" s="10"/>
      <c r="C33" s="11">
        <v>2710</v>
      </c>
      <c r="D33" s="12" t="s">
        <v>106</v>
      </c>
      <c r="E33" s="13">
        <v>293275</v>
      </c>
      <c r="F33" s="13"/>
      <c r="G33" s="13"/>
      <c r="H33" s="310">
        <f>E33+F33-G33</f>
        <v>293275</v>
      </c>
    </row>
    <row r="34" spans="1:8" ht="15.75">
      <c r="A34" s="9"/>
      <c r="B34" s="10">
        <v>60004</v>
      </c>
      <c r="C34" s="11"/>
      <c r="D34" s="12" t="s">
        <v>14</v>
      </c>
      <c r="E34" s="13">
        <f>SUM(E35:E38)</f>
        <v>9577071</v>
      </c>
      <c r="F34" s="13">
        <f t="shared" ref="F34:H34" si="12">SUM(F35:F38)</f>
        <v>1000000</v>
      </c>
      <c r="G34" s="13">
        <f t="shared" si="12"/>
        <v>0</v>
      </c>
      <c r="H34" s="13">
        <f t="shared" si="12"/>
        <v>10577071</v>
      </c>
    </row>
    <row r="35" spans="1:8" ht="47.25">
      <c r="A35" s="9"/>
      <c r="B35" s="10"/>
      <c r="C35" s="11">
        <v>2310</v>
      </c>
      <c r="D35" s="12" t="s">
        <v>107</v>
      </c>
      <c r="E35" s="13">
        <v>9400000</v>
      </c>
      <c r="F35" s="13"/>
      <c r="G35" s="13"/>
      <c r="H35" s="310">
        <v>9400000</v>
      </c>
    </row>
    <row r="36" spans="1:8" ht="63">
      <c r="A36" s="9"/>
      <c r="B36" s="10"/>
      <c r="C36" s="11">
        <v>2900</v>
      </c>
      <c r="D36" s="12" t="s">
        <v>171</v>
      </c>
      <c r="E36" s="13">
        <v>120637</v>
      </c>
      <c r="F36" s="13"/>
      <c r="G36" s="13"/>
      <c r="H36" s="310">
        <v>120637</v>
      </c>
    </row>
    <row r="37" spans="1:8" ht="63">
      <c r="A37" s="9"/>
      <c r="B37" s="10"/>
      <c r="C37" s="11">
        <v>6650</v>
      </c>
      <c r="D37" s="12" t="s">
        <v>207</v>
      </c>
      <c r="E37" s="13">
        <v>56434</v>
      </c>
      <c r="F37" s="13"/>
      <c r="G37" s="13"/>
      <c r="H37" s="310">
        <v>56434</v>
      </c>
    </row>
    <row r="38" spans="1:8" ht="15.75">
      <c r="A38" s="9"/>
      <c r="B38" s="10"/>
      <c r="C38" s="72">
        <v>6010</v>
      </c>
      <c r="D38" s="73" t="s">
        <v>434</v>
      </c>
      <c r="E38" s="13"/>
      <c r="F38" s="13">
        <v>1000000</v>
      </c>
      <c r="G38" s="13"/>
      <c r="H38" s="310">
        <f>E38+F38-G38</f>
        <v>1000000</v>
      </c>
    </row>
    <row r="39" spans="1:8" ht="15.75">
      <c r="A39" s="9"/>
      <c r="B39" s="10">
        <v>60014</v>
      </c>
      <c r="C39" s="11"/>
      <c r="D39" s="12" t="s">
        <v>15</v>
      </c>
      <c r="E39" s="13">
        <f>SUM(E40:E42)</f>
        <v>2781668</v>
      </c>
      <c r="F39" s="13">
        <f t="shared" ref="F39:H39" si="13">SUM(F40:F42)</f>
        <v>0</v>
      </c>
      <c r="G39" s="13">
        <f t="shared" si="13"/>
        <v>0</v>
      </c>
      <c r="H39" s="310">
        <f t="shared" si="13"/>
        <v>2781668</v>
      </c>
    </row>
    <row r="40" spans="1:8" ht="15.75">
      <c r="A40" s="9"/>
      <c r="B40" s="10"/>
      <c r="C40" s="11">
        <v>4520</v>
      </c>
      <c r="D40" s="12" t="s">
        <v>108</v>
      </c>
      <c r="E40" s="13">
        <v>50000</v>
      </c>
      <c r="F40" s="13"/>
      <c r="G40" s="13"/>
      <c r="H40" s="310">
        <f>E40+F40-G40</f>
        <v>50000</v>
      </c>
    </row>
    <row r="41" spans="1:8" ht="15.75">
      <c r="A41" s="9"/>
      <c r="B41" s="10"/>
      <c r="C41" s="11">
        <v>6050</v>
      </c>
      <c r="D41" s="12" t="s">
        <v>98</v>
      </c>
      <c r="E41" s="13">
        <f>1000000+2415000-2000000+120000+70000</f>
        <v>1605000</v>
      </c>
      <c r="F41" s="13"/>
      <c r="G41" s="13"/>
      <c r="H41" s="310">
        <f t="shared" ref="H41:H42" si="14">E41+F41-G41</f>
        <v>1605000</v>
      </c>
    </row>
    <row r="42" spans="1:8" ht="47.25">
      <c r="A42" s="9"/>
      <c r="B42" s="10"/>
      <c r="C42" s="11">
        <v>6300</v>
      </c>
      <c r="D42" s="12" t="s">
        <v>109</v>
      </c>
      <c r="E42" s="13">
        <f>150000-120000+1096668</f>
        <v>1126668</v>
      </c>
      <c r="F42" s="13"/>
      <c r="G42" s="13"/>
      <c r="H42" s="310">
        <f t="shared" si="14"/>
        <v>1126668</v>
      </c>
    </row>
    <row r="43" spans="1:8" ht="15.75">
      <c r="A43" s="9"/>
      <c r="B43" s="10">
        <v>60016</v>
      </c>
      <c r="C43" s="11"/>
      <c r="D43" s="12" t="s">
        <v>16</v>
      </c>
      <c r="E43" s="13">
        <f>SUM(E44:E50)</f>
        <v>32203800</v>
      </c>
      <c r="F43" s="13">
        <f t="shared" ref="F43:H43" si="15">SUM(F44:F50)</f>
        <v>932000</v>
      </c>
      <c r="G43" s="13">
        <f t="shared" si="15"/>
        <v>0</v>
      </c>
      <c r="H43" s="310">
        <f t="shared" si="15"/>
        <v>33135800</v>
      </c>
    </row>
    <row r="44" spans="1:8" ht="15.75">
      <c r="A44" s="9"/>
      <c r="B44" s="10"/>
      <c r="C44" s="11">
        <v>4170</v>
      </c>
      <c r="D44" s="12" t="s">
        <v>101</v>
      </c>
      <c r="E44" s="13">
        <v>90000</v>
      </c>
      <c r="F44" s="13"/>
      <c r="G44" s="13"/>
      <c r="H44" s="310">
        <f>E44+F44-G44</f>
        <v>90000</v>
      </c>
    </row>
    <row r="45" spans="1:8" ht="15.75">
      <c r="A45" s="9"/>
      <c r="B45" s="10"/>
      <c r="C45" s="11">
        <v>4210</v>
      </c>
      <c r="D45" s="12" t="s">
        <v>102</v>
      </c>
      <c r="E45" s="13">
        <v>5000</v>
      </c>
      <c r="F45" s="13"/>
      <c r="G45" s="13"/>
      <c r="H45" s="310">
        <f t="shared" ref="H45:H50" si="16">E45+F45-G45</f>
        <v>5000</v>
      </c>
    </row>
    <row r="46" spans="1:8" ht="15.75">
      <c r="A46" s="9"/>
      <c r="B46" s="10"/>
      <c r="C46" s="11">
        <v>4270</v>
      </c>
      <c r="D46" s="12" t="s">
        <v>110</v>
      </c>
      <c r="E46" s="13">
        <v>450000</v>
      </c>
      <c r="F46" s="13"/>
      <c r="G46" s="13"/>
      <c r="H46" s="310">
        <f t="shared" si="16"/>
        <v>450000</v>
      </c>
    </row>
    <row r="47" spans="1:8" ht="15.75">
      <c r="A47" s="9"/>
      <c r="B47" s="10"/>
      <c r="C47" s="11">
        <v>4300</v>
      </c>
      <c r="D47" s="12" t="s">
        <v>93</v>
      </c>
      <c r="E47" s="13">
        <f>3400000-170000-150000</f>
        <v>3080000</v>
      </c>
      <c r="F47" s="13">
        <v>320000</v>
      </c>
      <c r="G47" s="13"/>
      <c r="H47" s="310">
        <f t="shared" si="16"/>
        <v>3400000</v>
      </c>
    </row>
    <row r="48" spans="1:8" ht="15.75">
      <c r="A48" s="62"/>
      <c r="B48" s="63"/>
      <c r="C48" s="11">
        <v>4430</v>
      </c>
      <c r="D48" s="12" t="s">
        <v>95</v>
      </c>
      <c r="E48" s="13">
        <v>150000</v>
      </c>
      <c r="F48" s="13"/>
      <c r="G48" s="13"/>
      <c r="H48" s="310">
        <f t="shared" si="16"/>
        <v>150000</v>
      </c>
    </row>
    <row r="49" spans="1:8" ht="15.75">
      <c r="A49" s="9"/>
      <c r="B49" s="10"/>
      <c r="C49" s="11">
        <v>6050</v>
      </c>
      <c r="D49" s="12" t="s">
        <v>98</v>
      </c>
      <c r="E49" s="13">
        <f>21690000+10000+957800+2000000+600000+1000+170000</f>
        <v>25428800</v>
      </c>
      <c r="F49" s="13">
        <v>612000</v>
      </c>
      <c r="G49" s="13"/>
      <c r="H49" s="310">
        <f t="shared" si="16"/>
        <v>26040800</v>
      </c>
    </row>
    <row r="50" spans="1:8" ht="46.5" customHeight="1">
      <c r="A50" s="9"/>
      <c r="B50" s="10"/>
      <c r="C50" s="11">
        <v>6370</v>
      </c>
      <c r="D50" s="12" t="s">
        <v>218</v>
      </c>
      <c r="E50" s="13">
        <v>3000000</v>
      </c>
      <c r="F50" s="13"/>
      <c r="G50" s="13"/>
      <c r="H50" s="310">
        <f t="shared" si="16"/>
        <v>3000000</v>
      </c>
    </row>
    <row r="51" spans="1:8" ht="15.75">
      <c r="A51" s="9"/>
      <c r="B51" s="10">
        <v>60095</v>
      </c>
      <c r="C51" s="11"/>
      <c r="D51" s="12" t="s">
        <v>8</v>
      </c>
      <c r="E51" s="13">
        <f>SUM(E52:E53)</f>
        <v>150000</v>
      </c>
      <c r="F51" s="13">
        <f t="shared" ref="F51:H51" si="17">SUM(F52:F53)</f>
        <v>0</v>
      </c>
      <c r="G51" s="13">
        <f t="shared" si="17"/>
        <v>0</v>
      </c>
      <c r="H51" s="310">
        <f t="shared" si="17"/>
        <v>150000</v>
      </c>
    </row>
    <row r="52" spans="1:8" ht="15.75">
      <c r="A52" s="9"/>
      <c r="B52" s="10"/>
      <c r="C52" s="11">
        <v>4260</v>
      </c>
      <c r="D52" s="12" t="s">
        <v>111</v>
      </c>
      <c r="E52" s="13">
        <v>30000</v>
      </c>
      <c r="F52" s="13"/>
      <c r="G52" s="13"/>
      <c r="H52" s="310">
        <f>E52+F52-G52</f>
        <v>30000</v>
      </c>
    </row>
    <row r="53" spans="1:8" ht="15.75">
      <c r="A53" s="9"/>
      <c r="B53" s="10"/>
      <c r="C53" s="11">
        <v>4300</v>
      </c>
      <c r="D53" s="12" t="s">
        <v>93</v>
      </c>
      <c r="E53" s="13">
        <v>120000</v>
      </c>
      <c r="F53" s="13"/>
      <c r="G53" s="13"/>
      <c r="H53" s="310">
        <f>E53+F53-G53</f>
        <v>120000</v>
      </c>
    </row>
    <row r="54" spans="1:8" ht="15.75">
      <c r="A54" s="9">
        <v>700</v>
      </c>
      <c r="B54" s="10"/>
      <c r="C54" s="11"/>
      <c r="D54" s="12" t="s">
        <v>18</v>
      </c>
      <c r="E54" s="13">
        <f>E55+E63+E69</f>
        <v>8195332</v>
      </c>
      <c r="F54" s="13">
        <f>F55+F63+F69</f>
        <v>1951668</v>
      </c>
      <c r="G54" s="13">
        <f>G55+G63+G69</f>
        <v>100000</v>
      </c>
      <c r="H54" s="310">
        <f>H55+H63+H69</f>
        <v>10047000</v>
      </c>
    </row>
    <row r="55" spans="1:8" ht="15.75">
      <c r="A55" s="9"/>
      <c r="B55" s="10">
        <v>70005</v>
      </c>
      <c r="C55" s="11"/>
      <c r="D55" s="12" t="s">
        <v>21</v>
      </c>
      <c r="E55" s="13">
        <f>SUM(E56:E62)</f>
        <v>3790332</v>
      </c>
      <c r="F55" s="13">
        <f t="shared" ref="F55:H55" si="18">SUM(F56:F62)</f>
        <v>1876668</v>
      </c>
      <c r="G55" s="13">
        <f t="shared" si="18"/>
        <v>100000</v>
      </c>
      <c r="H55" s="310">
        <f t="shared" si="18"/>
        <v>5567000</v>
      </c>
    </row>
    <row r="56" spans="1:8" ht="15.75">
      <c r="A56" s="9"/>
      <c r="B56" s="10"/>
      <c r="C56" s="11">
        <v>4210</v>
      </c>
      <c r="D56" s="12" t="s">
        <v>102</v>
      </c>
      <c r="E56" s="13">
        <v>10000</v>
      </c>
      <c r="F56" s="13"/>
      <c r="G56" s="13"/>
      <c r="H56" s="310">
        <f>E56+F56-G56</f>
        <v>10000</v>
      </c>
    </row>
    <row r="57" spans="1:8" ht="15.75">
      <c r="A57" s="9"/>
      <c r="B57" s="10"/>
      <c r="C57" s="11">
        <v>4260</v>
      </c>
      <c r="D57" s="12" t="s">
        <v>111</v>
      </c>
      <c r="E57" s="13">
        <v>490000</v>
      </c>
      <c r="F57" s="13">
        <v>100000</v>
      </c>
      <c r="G57" s="13"/>
      <c r="H57" s="310">
        <f>E57+F57-G57</f>
        <v>590000</v>
      </c>
    </row>
    <row r="58" spans="1:8" ht="15.75">
      <c r="A58" s="9"/>
      <c r="B58" s="10"/>
      <c r="C58" s="11">
        <v>4270</v>
      </c>
      <c r="D58" s="12" t="s">
        <v>110</v>
      </c>
      <c r="E58" s="13">
        <v>200000</v>
      </c>
      <c r="F58" s="13"/>
      <c r="G58" s="13"/>
      <c r="H58" s="310">
        <f t="shared" ref="H58:H62" si="19">E58+F58-G58</f>
        <v>200000</v>
      </c>
    </row>
    <row r="59" spans="1:8" ht="15.75">
      <c r="A59" s="9"/>
      <c r="B59" s="10"/>
      <c r="C59" s="11">
        <v>4300</v>
      </c>
      <c r="D59" s="12" t="s">
        <v>93</v>
      </c>
      <c r="E59" s="13">
        <f>350000-10000</f>
        <v>340000</v>
      </c>
      <c r="F59" s="13">
        <v>80000</v>
      </c>
      <c r="G59" s="13"/>
      <c r="H59" s="310">
        <f t="shared" si="19"/>
        <v>420000</v>
      </c>
    </row>
    <row r="60" spans="1:8" ht="15.75">
      <c r="A60" s="9"/>
      <c r="B60" s="10"/>
      <c r="C60" s="11">
        <v>4430</v>
      </c>
      <c r="D60" s="12" t="s">
        <v>95</v>
      </c>
      <c r="E60" s="13">
        <v>7000</v>
      </c>
      <c r="F60" s="13"/>
      <c r="G60" s="13"/>
      <c r="H60" s="310">
        <f t="shared" si="19"/>
        <v>7000</v>
      </c>
    </row>
    <row r="61" spans="1:8" ht="15.75">
      <c r="A61" s="9"/>
      <c r="B61" s="10"/>
      <c r="C61" s="11">
        <v>6050</v>
      </c>
      <c r="D61" s="12" t="s">
        <v>98</v>
      </c>
      <c r="E61" s="13">
        <v>650000</v>
      </c>
      <c r="F61" s="13"/>
      <c r="G61" s="13">
        <v>100000</v>
      </c>
      <c r="H61" s="310">
        <f t="shared" si="19"/>
        <v>550000</v>
      </c>
    </row>
    <row r="62" spans="1:8" ht="15.75">
      <c r="A62" s="9"/>
      <c r="B62" s="10"/>
      <c r="C62" s="11">
        <v>6060</v>
      </c>
      <c r="D62" s="12" t="s">
        <v>112</v>
      </c>
      <c r="E62" s="13">
        <f>5790000-2000000-1696668</f>
        <v>2093332</v>
      </c>
      <c r="F62" s="13">
        <v>1696668</v>
      </c>
      <c r="G62" s="13"/>
      <c r="H62" s="310">
        <f t="shared" si="19"/>
        <v>3790000</v>
      </c>
    </row>
    <row r="63" spans="1:8" ht="15.75">
      <c r="A63" s="9"/>
      <c r="B63" s="10">
        <v>70007</v>
      </c>
      <c r="C63" s="11"/>
      <c r="D63" s="12" t="s">
        <v>24</v>
      </c>
      <c r="E63" s="13">
        <f>SUM(E64:E68)</f>
        <v>705000</v>
      </c>
      <c r="F63" s="13">
        <f t="shared" ref="F63:H63" si="20">SUM(F64:F68)</f>
        <v>75000</v>
      </c>
      <c r="G63" s="13">
        <f t="shared" si="20"/>
        <v>0</v>
      </c>
      <c r="H63" s="310">
        <f t="shared" si="20"/>
        <v>780000</v>
      </c>
    </row>
    <row r="64" spans="1:8" ht="15.75">
      <c r="A64" s="9"/>
      <c r="B64" s="10"/>
      <c r="C64" s="11">
        <v>4210</v>
      </c>
      <c r="D64" s="12" t="s">
        <v>102</v>
      </c>
      <c r="E64" s="13">
        <f>10000+36000</f>
        <v>46000</v>
      </c>
      <c r="F64" s="13"/>
      <c r="G64" s="13"/>
      <c r="H64" s="310">
        <f>E64+F64-G64</f>
        <v>46000</v>
      </c>
    </row>
    <row r="65" spans="1:8" ht="15.75">
      <c r="A65" s="9"/>
      <c r="B65" s="10"/>
      <c r="C65" s="11">
        <v>4260</v>
      </c>
      <c r="D65" s="12" t="s">
        <v>111</v>
      </c>
      <c r="E65" s="13">
        <v>240000</v>
      </c>
      <c r="F65" s="13">
        <v>75000</v>
      </c>
      <c r="G65" s="13"/>
      <c r="H65" s="310">
        <f t="shared" ref="H65:H68" si="21">E65+F65-G65</f>
        <v>315000</v>
      </c>
    </row>
    <row r="66" spans="1:8" ht="15.75">
      <c r="A66" s="9"/>
      <c r="B66" s="10"/>
      <c r="C66" s="11">
        <v>4270</v>
      </c>
      <c r="D66" s="12" t="s">
        <v>110</v>
      </c>
      <c r="E66" s="13">
        <v>250000</v>
      </c>
      <c r="F66" s="13"/>
      <c r="G66" s="13"/>
      <c r="H66" s="310">
        <f t="shared" si="21"/>
        <v>250000</v>
      </c>
    </row>
    <row r="67" spans="1:8" ht="15.75">
      <c r="A67" s="9"/>
      <c r="B67" s="10"/>
      <c r="C67" s="11">
        <v>4300</v>
      </c>
      <c r="D67" s="12" t="s">
        <v>93</v>
      </c>
      <c r="E67" s="13">
        <f>135000-36000</f>
        <v>99000</v>
      </c>
      <c r="F67" s="13"/>
      <c r="G67" s="13"/>
      <c r="H67" s="310">
        <f t="shared" si="21"/>
        <v>99000</v>
      </c>
    </row>
    <row r="68" spans="1:8" ht="15.75">
      <c r="A68" s="9"/>
      <c r="B68" s="10"/>
      <c r="C68" s="11">
        <v>6050</v>
      </c>
      <c r="D68" s="12" t="s">
        <v>98</v>
      </c>
      <c r="E68" s="13">
        <v>70000</v>
      </c>
      <c r="F68" s="13"/>
      <c r="G68" s="13"/>
      <c r="H68" s="310">
        <f t="shared" si="21"/>
        <v>70000</v>
      </c>
    </row>
    <row r="69" spans="1:8" ht="15.75">
      <c r="A69" s="9"/>
      <c r="B69" s="10">
        <v>70095</v>
      </c>
      <c r="C69" s="11"/>
      <c r="D69" s="12" t="s">
        <v>8</v>
      </c>
      <c r="E69" s="13">
        <f>E70</f>
        <v>3700000</v>
      </c>
      <c r="F69" s="13">
        <f t="shared" ref="F69:H69" si="22">F70</f>
        <v>0</v>
      </c>
      <c r="G69" s="13">
        <f t="shared" si="22"/>
        <v>0</v>
      </c>
      <c r="H69" s="310">
        <f t="shared" si="22"/>
        <v>3700000</v>
      </c>
    </row>
    <row r="70" spans="1:8" ht="15.75">
      <c r="A70" s="9"/>
      <c r="B70" s="10"/>
      <c r="C70" s="11">
        <v>6050</v>
      </c>
      <c r="D70" s="12" t="s">
        <v>98</v>
      </c>
      <c r="E70" s="13">
        <v>3700000</v>
      </c>
      <c r="F70" s="13"/>
      <c r="G70" s="13"/>
      <c r="H70" s="310">
        <f>E70+F70-G70</f>
        <v>3700000</v>
      </c>
    </row>
    <row r="71" spans="1:8" ht="15.75">
      <c r="A71" s="9">
        <v>710</v>
      </c>
      <c r="B71" s="10"/>
      <c r="C71" s="11"/>
      <c r="D71" s="12" t="s">
        <v>26</v>
      </c>
      <c r="E71" s="13">
        <f>E72+E77+E80</f>
        <v>825000</v>
      </c>
      <c r="F71" s="13">
        <f t="shared" ref="F71:H71" si="23">F72+F77+F80</f>
        <v>0</v>
      </c>
      <c r="G71" s="13">
        <f t="shared" si="23"/>
        <v>0</v>
      </c>
      <c r="H71" s="310">
        <f t="shared" si="23"/>
        <v>825000</v>
      </c>
    </row>
    <row r="72" spans="1:8" ht="15.75">
      <c r="A72" s="9"/>
      <c r="B72" s="10">
        <v>71004</v>
      </c>
      <c r="C72" s="11"/>
      <c r="D72" s="12" t="s">
        <v>113</v>
      </c>
      <c r="E72" s="13">
        <f>SUM(E73:E76)</f>
        <v>490000</v>
      </c>
      <c r="F72" s="13">
        <f t="shared" ref="F72:H72" si="24">SUM(F73:F76)</f>
        <v>0</v>
      </c>
      <c r="G72" s="13">
        <f t="shared" si="24"/>
        <v>0</v>
      </c>
      <c r="H72" s="310">
        <f t="shared" si="24"/>
        <v>490000</v>
      </c>
    </row>
    <row r="73" spans="1:8" ht="15.75">
      <c r="A73" s="9"/>
      <c r="B73" s="10"/>
      <c r="C73" s="11">
        <v>4170</v>
      </c>
      <c r="D73" s="12" t="s">
        <v>101</v>
      </c>
      <c r="E73" s="13">
        <v>15000</v>
      </c>
      <c r="F73" s="13"/>
      <c r="G73" s="13"/>
      <c r="H73" s="310">
        <f>E73+F73-G73</f>
        <v>15000</v>
      </c>
    </row>
    <row r="74" spans="1:8" ht="15.75">
      <c r="A74" s="9"/>
      <c r="B74" s="10"/>
      <c r="C74" s="11">
        <v>4300</v>
      </c>
      <c r="D74" s="12" t="s">
        <v>93</v>
      </c>
      <c r="E74" s="13">
        <v>50000</v>
      </c>
      <c r="F74" s="13"/>
      <c r="G74" s="13"/>
      <c r="H74" s="310">
        <f t="shared" ref="H74:H76" si="25">E74+F74-G74</f>
        <v>50000</v>
      </c>
    </row>
    <row r="75" spans="1:8" ht="15.75">
      <c r="A75" s="9"/>
      <c r="B75" s="10"/>
      <c r="C75" s="11">
        <v>4430</v>
      </c>
      <c r="D75" s="12" t="s">
        <v>95</v>
      </c>
      <c r="E75" s="13">
        <v>35000</v>
      </c>
      <c r="F75" s="13"/>
      <c r="G75" s="13"/>
      <c r="H75" s="310">
        <f t="shared" si="25"/>
        <v>35000</v>
      </c>
    </row>
    <row r="76" spans="1:8" ht="15.75">
      <c r="A76" s="9"/>
      <c r="B76" s="10"/>
      <c r="C76" s="11">
        <v>6050</v>
      </c>
      <c r="D76" s="12" t="s">
        <v>98</v>
      </c>
      <c r="E76" s="13">
        <v>390000</v>
      </c>
      <c r="F76" s="13"/>
      <c r="G76" s="13"/>
      <c r="H76" s="310">
        <f t="shared" si="25"/>
        <v>390000</v>
      </c>
    </row>
    <row r="77" spans="1:8" ht="15.75">
      <c r="A77" s="9"/>
      <c r="B77" s="10">
        <v>71012</v>
      </c>
      <c r="C77" s="11"/>
      <c r="D77" s="12" t="s">
        <v>114</v>
      </c>
      <c r="E77" s="13">
        <f>SUM(E78:E79)</f>
        <v>320000</v>
      </c>
      <c r="F77" s="13">
        <f t="shared" ref="F77:H77" si="26">SUM(F78:F79)</f>
        <v>0</v>
      </c>
      <c r="G77" s="13">
        <f t="shared" si="26"/>
        <v>0</v>
      </c>
      <c r="H77" s="310">
        <f t="shared" si="26"/>
        <v>320000</v>
      </c>
    </row>
    <row r="78" spans="1:8" ht="15.75">
      <c r="A78" s="9"/>
      <c r="B78" s="10"/>
      <c r="C78" s="11">
        <v>4300</v>
      </c>
      <c r="D78" s="12" t="s">
        <v>93</v>
      </c>
      <c r="E78" s="13">
        <v>280000</v>
      </c>
      <c r="F78" s="13"/>
      <c r="G78" s="13"/>
      <c r="H78" s="310">
        <f>E78+F78-G78</f>
        <v>280000</v>
      </c>
    </row>
    <row r="79" spans="1:8" ht="15.75">
      <c r="A79" s="9"/>
      <c r="B79" s="10"/>
      <c r="C79" s="11">
        <v>4610</v>
      </c>
      <c r="D79" s="12" t="s">
        <v>115</v>
      </c>
      <c r="E79" s="13">
        <v>40000</v>
      </c>
      <c r="F79" s="13"/>
      <c r="G79" s="13"/>
      <c r="H79" s="310">
        <f>E79+F79-G79</f>
        <v>40000</v>
      </c>
    </row>
    <row r="80" spans="1:8" ht="15.75">
      <c r="A80" s="9"/>
      <c r="B80" s="10">
        <v>71095</v>
      </c>
      <c r="C80" s="11"/>
      <c r="D80" s="12" t="s">
        <v>8</v>
      </c>
      <c r="E80" s="13">
        <f>SUM(E81)</f>
        <v>15000</v>
      </c>
      <c r="F80" s="13">
        <f t="shared" ref="F80:H80" si="27">SUM(F81)</f>
        <v>0</v>
      </c>
      <c r="G80" s="13">
        <f t="shared" si="27"/>
        <v>0</v>
      </c>
      <c r="H80" s="310">
        <f t="shared" si="27"/>
        <v>15000</v>
      </c>
    </row>
    <row r="81" spans="1:8" ht="15.75" customHeight="1">
      <c r="A81" s="9"/>
      <c r="B81" s="10"/>
      <c r="C81" s="11">
        <v>4430</v>
      </c>
      <c r="D81" s="12" t="s">
        <v>95</v>
      </c>
      <c r="E81" s="13">
        <v>15000</v>
      </c>
      <c r="F81" s="13"/>
      <c r="G81" s="13"/>
      <c r="H81" s="310">
        <f>E81+F81-G81</f>
        <v>15000</v>
      </c>
    </row>
    <row r="82" spans="1:8" ht="15.75">
      <c r="A82" s="9">
        <v>750</v>
      </c>
      <c r="B82" s="10"/>
      <c r="C82" s="11"/>
      <c r="D82" s="12" t="s">
        <v>28</v>
      </c>
      <c r="E82" s="13">
        <f>E83+E87+E91+E115+E122+E138</f>
        <v>20072428.91</v>
      </c>
      <c r="F82" s="13">
        <f>F83+F87+F91+F115+F122+F138</f>
        <v>2270500</v>
      </c>
      <c r="G82" s="13">
        <f>G83+G87+G91+G115+G122+G138</f>
        <v>0</v>
      </c>
      <c r="H82" s="310">
        <f>H83+H87+H91+H115+H122+H138</f>
        <v>22342928.91</v>
      </c>
    </row>
    <row r="83" spans="1:8" ht="15.75">
      <c r="A83" s="9"/>
      <c r="B83" s="10">
        <v>75011</v>
      </c>
      <c r="C83" s="11"/>
      <c r="D83" s="12" t="s">
        <v>29</v>
      </c>
      <c r="E83" s="13">
        <f>SUM(E84:E86)</f>
        <v>414302</v>
      </c>
      <c r="F83" s="13">
        <f t="shared" ref="F83:H83" si="28">SUM(F84:F86)</f>
        <v>0</v>
      </c>
      <c r="G83" s="13">
        <f t="shared" si="28"/>
        <v>0</v>
      </c>
      <c r="H83" s="310">
        <f t="shared" si="28"/>
        <v>414302</v>
      </c>
    </row>
    <row r="84" spans="1:8" ht="15.75">
      <c r="A84" s="9"/>
      <c r="B84" s="10"/>
      <c r="C84" s="11">
        <v>4010</v>
      </c>
      <c r="D84" s="12" t="s">
        <v>116</v>
      </c>
      <c r="E84" s="13">
        <f>327818+18734</f>
        <v>346552</v>
      </c>
      <c r="F84" s="13"/>
      <c r="G84" s="13"/>
      <c r="H84" s="310">
        <f>E84+F84-G84</f>
        <v>346552</v>
      </c>
    </row>
    <row r="85" spans="1:8" ht="15.75">
      <c r="A85" s="9"/>
      <c r="B85" s="10"/>
      <c r="C85" s="11">
        <v>4110</v>
      </c>
      <c r="D85" s="12" t="s">
        <v>99</v>
      </c>
      <c r="E85" s="13">
        <f>56057+3203</f>
        <v>59260</v>
      </c>
      <c r="F85" s="13"/>
      <c r="G85" s="13"/>
      <c r="H85" s="310">
        <f t="shared" ref="H85:H86" si="29">E85+F85-G85</f>
        <v>59260</v>
      </c>
    </row>
    <row r="86" spans="1:8" ht="15.75">
      <c r="A86" s="9"/>
      <c r="B86" s="10"/>
      <c r="C86" s="11">
        <v>4120</v>
      </c>
      <c r="D86" s="12" t="s">
        <v>100</v>
      </c>
      <c r="E86" s="13">
        <f>8031+459</f>
        <v>8490</v>
      </c>
      <c r="F86" s="13"/>
      <c r="G86" s="13"/>
      <c r="H86" s="310">
        <f t="shared" si="29"/>
        <v>8490</v>
      </c>
    </row>
    <row r="87" spans="1:8" ht="15.75">
      <c r="A87" s="9"/>
      <c r="B87" s="10">
        <v>75022</v>
      </c>
      <c r="C87" s="11"/>
      <c r="D87" s="12" t="s">
        <v>117</v>
      </c>
      <c r="E87" s="13">
        <f>SUM(E88:E90)</f>
        <v>662540</v>
      </c>
      <c r="F87" s="13">
        <f t="shared" ref="F87:H87" si="30">SUM(F88:F90)</f>
        <v>100000</v>
      </c>
      <c r="G87" s="13">
        <f t="shared" si="30"/>
        <v>0</v>
      </c>
      <c r="H87" s="310">
        <f t="shared" si="30"/>
        <v>762540</v>
      </c>
    </row>
    <row r="88" spans="1:8" ht="15.75">
      <c r="A88" s="9"/>
      <c r="B88" s="10"/>
      <c r="C88" s="11">
        <v>3030</v>
      </c>
      <c r="D88" s="12" t="s">
        <v>118</v>
      </c>
      <c r="E88" s="13">
        <v>575540</v>
      </c>
      <c r="F88" s="13">
        <v>100000</v>
      </c>
      <c r="G88" s="13"/>
      <c r="H88" s="310">
        <f>E88+F88-G88</f>
        <v>675540</v>
      </c>
    </row>
    <row r="89" spans="1:8" ht="15.75">
      <c r="A89" s="9"/>
      <c r="B89" s="10"/>
      <c r="C89" s="11">
        <v>4210</v>
      </c>
      <c r="D89" s="12" t="s">
        <v>102</v>
      </c>
      <c r="E89" s="13">
        <v>7000</v>
      </c>
      <c r="F89" s="13"/>
      <c r="G89" s="13"/>
      <c r="H89" s="310">
        <f t="shared" ref="H89:H90" si="31">E89+F89-G89</f>
        <v>7000</v>
      </c>
    </row>
    <row r="90" spans="1:8" ht="15.75">
      <c r="A90" s="9"/>
      <c r="B90" s="10"/>
      <c r="C90" s="11">
        <v>4300</v>
      </c>
      <c r="D90" s="12" t="s">
        <v>93</v>
      </c>
      <c r="E90" s="13">
        <v>80000</v>
      </c>
      <c r="F90" s="13"/>
      <c r="G90" s="13"/>
      <c r="H90" s="310">
        <f t="shared" si="31"/>
        <v>80000</v>
      </c>
    </row>
    <row r="91" spans="1:8" ht="15.75">
      <c r="A91" s="62"/>
      <c r="B91" s="10">
        <v>75023</v>
      </c>
      <c r="C91" s="11"/>
      <c r="D91" s="12" t="s">
        <v>30</v>
      </c>
      <c r="E91" s="13">
        <f>SUM(E92:E114)</f>
        <v>15038901</v>
      </c>
      <c r="F91" s="13">
        <f t="shared" ref="F91:H91" si="32">SUM(F92:F114)</f>
        <v>2010000</v>
      </c>
      <c r="G91" s="13">
        <f t="shared" si="32"/>
        <v>0</v>
      </c>
      <c r="H91" s="310">
        <f t="shared" si="32"/>
        <v>17048901</v>
      </c>
    </row>
    <row r="92" spans="1:8" ht="15.75">
      <c r="A92" s="62"/>
      <c r="B92" s="10"/>
      <c r="C92" s="11">
        <v>3020</v>
      </c>
      <c r="D92" s="12" t="s">
        <v>119</v>
      </c>
      <c r="E92" s="13">
        <v>30000</v>
      </c>
      <c r="F92" s="13"/>
      <c r="G92" s="13"/>
      <c r="H92" s="310">
        <f>E92+F92-G92</f>
        <v>30000</v>
      </c>
    </row>
    <row r="93" spans="1:8" ht="15.75">
      <c r="A93" s="62"/>
      <c r="B93" s="10"/>
      <c r="C93" s="11">
        <v>4010</v>
      </c>
      <c r="D93" s="12" t="s">
        <v>116</v>
      </c>
      <c r="E93" s="13">
        <v>8872827</v>
      </c>
      <c r="F93" s="13">
        <v>1000000</v>
      </c>
      <c r="G93" s="13"/>
      <c r="H93" s="310">
        <f t="shared" ref="H93:H114" si="33">E93+F93-G93</f>
        <v>9872827</v>
      </c>
    </row>
    <row r="94" spans="1:8" ht="15.75">
      <c r="A94" s="62"/>
      <c r="B94" s="63"/>
      <c r="C94" s="11">
        <v>4040</v>
      </c>
      <c r="D94" s="12" t="s">
        <v>120</v>
      </c>
      <c r="E94" s="13">
        <v>685609</v>
      </c>
      <c r="F94" s="13"/>
      <c r="G94" s="13"/>
      <c r="H94" s="310">
        <f t="shared" si="33"/>
        <v>685609</v>
      </c>
    </row>
    <row r="95" spans="1:8" ht="15.75">
      <c r="A95" s="62"/>
      <c r="B95" s="63"/>
      <c r="C95" s="11">
        <v>4110</v>
      </c>
      <c r="D95" s="12" t="s">
        <v>99</v>
      </c>
      <c r="E95" s="13">
        <v>1545996</v>
      </c>
      <c r="F95" s="13">
        <v>250000</v>
      </c>
      <c r="G95" s="13"/>
      <c r="H95" s="310">
        <f t="shared" si="33"/>
        <v>1795996</v>
      </c>
    </row>
    <row r="96" spans="1:8" ht="15.75">
      <c r="A96" s="62"/>
      <c r="B96" s="63"/>
      <c r="C96" s="11">
        <v>4120</v>
      </c>
      <c r="D96" s="12" t="s">
        <v>100</v>
      </c>
      <c r="E96" s="13">
        <v>220343</v>
      </c>
      <c r="F96" s="13">
        <v>50000</v>
      </c>
      <c r="G96" s="13"/>
      <c r="H96" s="310">
        <f t="shared" si="33"/>
        <v>270343</v>
      </c>
    </row>
    <row r="97" spans="1:8" ht="27.75" customHeight="1">
      <c r="A97" s="9"/>
      <c r="B97" s="10"/>
      <c r="C97" s="11">
        <v>4140</v>
      </c>
      <c r="D97" s="12" t="s">
        <v>121</v>
      </c>
      <c r="E97" s="13">
        <v>140000</v>
      </c>
      <c r="F97" s="13"/>
      <c r="G97" s="13"/>
      <c r="H97" s="310">
        <f t="shared" si="33"/>
        <v>140000</v>
      </c>
    </row>
    <row r="98" spans="1:8" ht="15.75">
      <c r="A98" s="9"/>
      <c r="B98" s="10"/>
      <c r="C98" s="11">
        <v>4170</v>
      </c>
      <c r="D98" s="12" t="s">
        <v>101</v>
      </c>
      <c r="E98" s="13">
        <v>140000</v>
      </c>
      <c r="F98" s="13"/>
      <c r="G98" s="13"/>
      <c r="H98" s="310">
        <f t="shared" si="33"/>
        <v>140000</v>
      </c>
    </row>
    <row r="99" spans="1:8" ht="15.75">
      <c r="A99" s="62"/>
      <c r="B99" s="63"/>
      <c r="C99" s="11">
        <v>4210</v>
      </c>
      <c r="D99" s="12" t="s">
        <v>102</v>
      </c>
      <c r="E99" s="13">
        <v>415000</v>
      </c>
      <c r="F99" s="13"/>
      <c r="G99" s="13"/>
      <c r="H99" s="310">
        <f t="shared" si="33"/>
        <v>415000</v>
      </c>
    </row>
    <row r="100" spans="1:8" ht="15.75">
      <c r="A100" s="62"/>
      <c r="B100" s="63"/>
      <c r="C100" s="11">
        <v>4220</v>
      </c>
      <c r="D100" s="12" t="s">
        <v>122</v>
      </c>
      <c r="E100" s="13">
        <v>5000</v>
      </c>
      <c r="F100" s="13"/>
      <c r="G100" s="13"/>
      <c r="H100" s="310">
        <f t="shared" si="33"/>
        <v>5000</v>
      </c>
    </row>
    <row r="101" spans="1:8" ht="15.75">
      <c r="A101" s="9"/>
      <c r="B101" s="10"/>
      <c r="C101" s="11">
        <v>4260</v>
      </c>
      <c r="D101" s="12" t="s">
        <v>111</v>
      </c>
      <c r="E101" s="13">
        <v>520000</v>
      </c>
      <c r="F101" s="13">
        <v>100000</v>
      </c>
      <c r="G101" s="13"/>
      <c r="H101" s="310">
        <f t="shared" si="33"/>
        <v>620000</v>
      </c>
    </row>
    <row r="102" spans="1:8" ht="15.75">
      <c r="A102" s="62"/>
      <c r="B102" s="63"/>
      <c r="C102" s="11">
        <v>4270</v>
      </c>
      <c r="D102" s="12" t="s">
        <v>110</v>
      </c>
      <c r="E102" s="13">
        <v>200000</v>
      </c>
      <c r="F102" s="13">
        <v>250000</v>
      </c>
      <c r="G102" s="13"/>
      <c r="H102" s="310">
        <f t="shared" si="33"/>
        <v>450000</v>
      </c>
    </row>
    <row r="103" spans="1:8" ht="15.75">
      <c r="A103" s="9"/>
      <c r="B103" s="10"/>
      <c r="C103" s="11">
        <v>4280</v>
      </c>
      <c r="D103" s="12" t="s">
        <v>123</v>
      </c>
      <c r="E103" s="13">
        <v>12000</v>
      </c>
      <c r="F103" s="13"/>
      <c r="G103" s="13"/>
      <c r="H103" s="310">
        <f t="shared" si="33"/>
        <v>12000</v>
      </c>
    </row>
    <row r="104" spans="1:8" ht="15.75">
      <c r="A104" s="9"/>
      <c r="B104" s="10"/>
      <c r="C104" s="11">
        <v>4300</v>
      </c>
      <c r="D104" s="12" t="s">
        <v>93</v>
      </c>
      <c r="E104" s="13">
        <v>1550000</v>
      </c>
      <c r="F104" s="13">
        <v>350000</v>
      </c>
      <c r="G104" s="13"/>
      <c r="H104" s="310">
        <f t="shared" si="33"/>
        <v>1900000</v>
      </c>
    </row>
    <row r="105" spans="1:8" ht="15.75">
      <c r="A105" s="62"/>
      <c r="B105" s="63"/>
      <c r="C105" s="11">
        <v>4360</v>
      </c>
      <c r="D105" s="12" t="s">
        <v>124</v>
      </c>
      <c r="E105" s="13">
        <v>40000</v>
      </c>
      <c r="F105" s="13"/>
      <c r="G105" s="13"/>
      <c r="H105" s="310">
        <f t="shared" si="33"/>
        <v>40000</v>
      </c>
    </row>
    <row r="106" spans="1:8" ht="15.75">
      <c r="A106" s="62"/>
      <c r="B106" s="63"/>
      <c r="C106" s="11">
        <v>4410</v>
      </c>
      <c r="D106" s="12" t="s">
        <v>125</v>
      </c>
      <c r="E106" s="13">
        <v>40000</v>
      </c>
      <c r="F106" s="13"/>
      <c r="G106" s="13"/>
      <c r="H106" s="310">
        <f t="shared" si="33"/>
        <v>40000</v>
      </c>
    </row>
    <row r="107" spans="1:8" ht="15.75">
      <c r="A107" s="62"/>
      <c r="B107" s="63"/>
      <c r="C107" s="11">
        <v>4420</v>
      </c>
      <c r="D107" s="12" t="s">
        <v>126</v>
      </c>
      <c r="E107" s="13">
        <v>5000</v>
      </c>
      <c r="F107" s="13"/>
      <c r="G107" s="13"/>
      <c r="H107" s="310">
        <f t="shared" si="33"/>
        <v>5000</v>
      </c>
    </row>
    <row r="108" spans="1:8" ht="15.75">
      <c r="A108" s="62"/>
      <c r="B108" s="63"/>
      <c r="C108" s="11">
        <v>4430</v>
      </c>
      <c r="D108" s="12" t="s">
        <v>95</v>
      </c>
      <c r="E108" s="13">
        <v>60000</v>
      </c>
      <c r="F108" s="13"/>
      <c r="G108" s="13"/>
      <c r="H108" s="310">
        <f t="shared" si="33"/>
        <v>60000</v>
      </c>
    </row>
    <row r="109" spans="1:8" ht="15.75">
      <c r="A109" s="62"/>
      <c r="B109" s="63"/>
      <c r="C109" s="11">
        <v>4440</v>
      </c>
      <c r="D109" s="12" t="s">
        <v>127</v>
      </c>
      <c r="E109" s="13">
        <f>160000+42126</f>
        <v>202126</v>
      </c>
      <c r="F109" s="13"/>
      <c r="G109" s="13"/>
      <c r="H109" s="310">
        <f t="shared" si="33"/>
        <v>202126</v>
      </c>
    </row>
    <row r="110" spans="1:8" ht="31.5">
      <c r="A110" s="62"/>
      <c r="B110" s="63"/>
      <c r="C110" s="11">
        <v>4500</v>
      </c>
      <c r="D110" s="12" t="s">
        <v>222</v>
      </c>
      <c r="E110" s="13">
        <v>3000</v>
      </c>
      <c r="F110" s="13"/>
      <c r="G110" s="13"/>
      <c r="H110" s="310">
        <f t="shared" si="33"/>
        <v>3000</v>
      </c>
    </row>
    <row r="111" spans="1:8" ht="30.75" customHeight="1">
      <c r="A111" s="62"/>
      <c r="B111" s="63"/>
      <c r="C111" s="11">
        <v>4700</v>
      </c>
      <c r="D111" s="12" t="s">
        <v>128</v>
      </c>
      <c r="E111" s="13">
        <v>57000</v>
      </c>
      <c r="F111" s="13"/>
      <c r="G111" s="13"/>
      <c r="H111" s="310">
        <f t="shared" si="33"/>
        <v>57000</v>
      </c>
    </row>
    <row r="112" spans="1:8" ht="15.75">
      <c r="A112" s="62"/>
      <c r="B112" s="63"/>
      <c r="C112" s="11">
        <v>4710</v>
      </c>
      <c r="D112" s="12" t="s">
        <v>103</v>
      </c>
      <c r="E112" s="13">
        <v>45000</v>
      </c>
      <c r="F112" s="13">
        <v>10000</v>
      </c>
      <c r="G112" s="13"/>
      <c r="H112" s="310">
        <f t="shared" si="33"/>
        <v>55000</v>
      </c>
    </row>
    <row r="113" spans="1:8" ht="15.75">
      <c r="A113" s="62"/>
      <c r="B113" s="63"/>
      <c r="C113" s="11">
        <v>6050</v>
      </c>
      <c r="D113" s="12" t="s">
        <v>98</v>
      </c>
      <c r="E113" s="13">
        <v>100000</v>
      </c>
      <c r="F113" s="13"/>
      <c r="G113" s="13"/>
      <c r="H113" s="310">
        <f t="shared" si="33"/>
        <v>100000</v>
      </c>
    </row>
    <row r="114" spans="1:8" ht="15.75">
      <c r="A114" s="62"/>
      <c r="B114" s="63"/>
      <c r="C114" s="11">
        <v>6060</v>
      </c>
      <c r="D114" s="12" t="s">
        <v>112</v>
      </c>
      <c r="E114" s="13">
        <v>150000</v>
      </c>
      <c r="F114" s="13"/>
      <c r="G114" s="13"/>
      <c r="H114" s="310">
        <f t="shared" si="33"/>
        <v>150000</v>
      </c>
    </row>
    <row r="115" spans="1:8" ht="15.75">
      <c r="A115" s="9"/>
      <c r="B115" s="10">
        <v>75075</v>
      </c>
      <c r="C115" s="11"/>
      <c r="D115" s="12" t="s">
        <v>129</v>
      </c>
      <c r="E115" s="13">
        <f>SUM(E116:E121)</f>
        <v>640000</v>
      </c>
      <c r="F115" s="13">
        <f t="shared" ref="F115:H115" si="34">SUM(F116:F121)</f>
        <v>50000</v>
      </c>
      <c r="G115" s="13">
        <f t="shared" si="34"/>
        <v>0</v>
      </c>
      <c r="H115" s="310">
        <f t="shared" si="34"/>
        <v>690000</v>
      </c>
    </row>
    <row r="116" spans="1:8" ht="15.75">
      <c r="A116" s="9"/>
      <c r="B116" s="10"/>
      <c r="C116" s="11">
        <v>4110</v>
      </c>
      <c r="D116" s="12" t="s">
        <v>99</v>
      </c>
      <c r="E116" s="13">
        <v>1600</v>
      </c>
      <c r="F116" s="13"/>
      <c r="G116" s="13"/>
      <c r="H116" s="310">
        <f>E116+F116-G116</f>
        <v>1600</v>
      </c>
    </row>
    <row r="117" spans="1:8" ht="15.75">
      <c r="A117" s="9"/>
      <c r="B117" s="10"/>
      <c r="C117" s="11">
        <v>4120</v>
      </c>
      <c r="D117" s="12" t="s">
        <v>100</v>
      </c>
      <c r="E117" s="13">
        <v>250</v>
      </c>
      <c r="F117" s="13"/>
      <c r="G117" s="13"/>
      <c r="H117" s="310">
        <f>E117+F117-G117</f>
        <v>250</v>
      </c>
    </row>
    <row r="118" spans="1:8" ht="15.75">
      <c r="A118" s="9"/>
      <c r="B118" s="10"/>
      <c r="C118" s="11">
        <v>4170</v>
      </c>
      <c r="D118" s="12" t="s">
        <v>101</v>
      </c>
      <c r="E118" s="13">
        <f>40000-400-1600</f>
        <v>38000</v>
      </c>
      <c r="F118" s="13"/>
      <c r="G118" s="13"/>
      <c r="H118" s="310">
        <f>E118+F118-G118</f>
        <v>38000</v>
      </c>
    </row>
    <row r="119" spans="1:8" ht="15.75">
      <c r="A119" s="9"/>
      <c r="B119" s="10"/>
      <c r="C119" s="11">
        <v>4210</v>
      </c>
      <c r="D119" s="12" t="s">
        <v>102</v>
      </c>
      <c r="E119" s="13">
        <v>50000</v>
      </c>
      <c r="F119" s="13"/>
      <c r="G119" s="13"/>
      <c r="H119" s="310">
        <f t="shared" ref="H119:H121" si="35">E119+F119-G119</f>
        <v>50000</v>
      </c>
    </row>
    <row r="120" spans="1:8" ht="15.75">
      <c r="A120" s="9"/>
      <c r="B120" s="10"/>
      <c r="C120" s="11">
        <v>4300</v>
      </c>
      <c r="D120" s="12" t="s">
        <v>93</v>
      </c>
      <c r="E120" s="13">
        <v>550000</v>
      </c>
      <c r="F120" s="13">
        <v>50000</v>
      </c>
      <c r="G120" s="13"/>
      <c r="H120" s="310">
        <f t="shared" si="35"/>
        <v>600000</v>
      </c>
    </row>
    <row r="121" spans="1:8" ht="15.75">
      <c r="A121" s="9"/>
      <c r="B121" s="10"/>
      <c r="C121" s="11">
        <v>4710</v>
      </c>
      <c r="D121" s="12" t="s">
        <v>103</v>
      </c>
      <c r="E121" s="13">
        <v>150</v>
      </c>
      <c r="F121" s="13"/>
      <c r="G121" s="13"/>
      <c r="H121" s="310">
        <f t="shared" si="35"/>
        <v>150</v>
      </c>
    </row>
    <row r="122" spans="1:8" ht="15.75">
      <c r="A122" s="9"/>
      <c r="B122" s="10">
        <v>75085</v>
      </c>
      <c r="C122" s="11"/>
      <c r="D122" s="12" t="s">
        <v>130</v>
      </c>
      <c r="E122" s="13">
        <f>SUM(E123:E137)</f>
        <v>1591859</v>
      </c>
      <c r="F122" s="13">
        <f t="shared" ref="F122:H122" si="36">SUM(F123:F137)</f>
        <v>80500</v>
      </c>
      <c r="G122" s="13">
        <f t="shared" si="36"/>
        <v>0</v>
      </c>
      <c r="H122" s="310">
        <f t="shared" si="36"/>
        <v>1672359</v>
      </c>
    </row>
    <row r="123" spans="1:8" ht="15.75">
      <c r="A123" s="9"/>
      <c r="B123" s="10"/>
      <c r="C123" s="11">
        <v>3020</v>
      </c>
      <c r="D123" s="12" t="s">
        <v>119</v>
      </c>
      <c r="E123" s="13">
        <v>4000</v>
      </c>
      <c r="F123" s="13"/>
      <c r="G123" s="13"/>
      <c r="H123" s="310">
        <f>E123+F123-G123</f>
        <v>4000</v>
      </c>
    </row>
    <row r="124" spans="1:8" ht="15.75">
      <c r="A124" s="9"/>
      <c r="B124" s="10"/>
      <c r="C124" s="11">
        <v>4010</v>
      </c>
      <c r="D124" s="12" t="s">
        <v>116</v>
      </c>
      <c r="E124" s="13">
        <v>1197085</v>
      </c>
      <c r="F124" s="13">
        <v>50000</v>
      </c>
      <c r="G124" s="13"/>
      <c r="H124" s="310">
        <f t="shared" ref="H124:H137" si="37">E124+F124-G124</f>
        <v>1247085</v>
      </c>
    </row>
    <row r="125" spans="1:8" ht="15.75">
      <c r="A125" s="9"/>
      <c r="B125" s="10"/>
      <c r="C125" s="11">
        <v>4040</v>
      </c>
      <c r="D125" s="12" t="s">
        <v>120</v>
      </c>
      <c r="E125" s="13">
        <v>76515</v>
      </c>
      <c r="F125" s="13"/>
      <c r="G125" s="13"/>
      <c r="H125" s="310">
        <f t="shared" si="37"/>
        <v>76515</v>
      </c>
    </row>
    <row r="126" spans="1:8" ht="15.75">
      <c r="A126" s="9"/>
      <c r="B126" s="10"/>
      <c r="C126" s="11">
        <v>4110</v>
      </c>
      <c r="D126" s="12" t="s">
        <v>99</v>
      </c>
      <c r="E126" s="13">
        <v>188007</v>
      </c>
      <c r="F126" s="13">
        <v>20000</v>
      </c>
      <c r="G126" s="13"/>
      <c r="H126" s="310">
        <f t="shared" si="37"/>
        <v>208007</v>
      </c>
    </row>
    <row r="127" spans="1:8" ht="15.75">
      <c r="A127" s="9"/>
      <c r="B127" s="10"/>
      <c r="C127" s="11">
        <v>4120</v>
      </c>
      <c r="D127" s="12" t="s">
        <v>100</v>
      </c>
      <c r="E127" s="13">
        <v>26797</v>
      </c>
      <c r="F127" s="13">
        <v>10000</v>
      </c>
      <c r="G127" s="13"/>
      <c r="H127" s="310">
        <f t="shared" si="37"/>
        <v>36797</v>
      </c>
    </row>
    <row r="128" spans="1:8" ht="15.75">
      <c r="A128" s="62"/>
      <c r="B128" s="63"/>
      <c r="C128" s="11">
        <v>4170</v>
      </c>
      <c r="D128" s="12" t="s">
        <v>101</v>
      </c>
      <c r="E128" s="13">
        <v>5000</v>
      </c>
      <c r="F128" s="13"/>
      <c r="G128" s="13"/>
      <c r="H128" s="310">
        <f t="shared" si="37"/>
        <v>5000</v>
      </c>
    </row>
    <row r="129" spans="1:8" ht="15.75">
      <c r="A129" s="9"/>
      <c r="B129" s="10"/>
      <c r="C129" s="11">
        <v>4210</v>
      </c>
      <c r="D129" s="12" t="s">
        <v>102</v>
      </c>
      <c r="E129" s="13">
        <v>30000</v>
      </c>
      <c r="F129" s="13"/>
      <c r="G129" s="13"/>
      <c r="H129" s="310">
        <f t="shared" si="37"/>
        <v>30000</v>
      </c>
    </row>
    <row r="130" spans="1:8" ht="15.75">
      <c r="A130" s="9"/>
      <c r="B130" s="10"/>
      <c r="C130" s="11">
        <v>4260</v>
      </c>
      <c r="D130" s="12" t="s">
        <v>111</v>
      </c>
      <c r="E130" s="13">
        <v>10000</v>
      </c>
      <c r="F130" s="13"/>
      <c r="G130" s="13"/>
      <c r="H130" s="310">
        <f t="shared" si="37"/>
        <v>10000</v>
      </c>
    </row>
    <row r="131" spans="1:8" ht="15.75">
      <c r="A131" s="9"/>
      <c r="B131" s="10"/>
      <c r="C131" s="11">
        <v>4280</v>
      </c>
      <c r="D131" s="12" t="s">
        <v>123</v>
      </c>
      <c r="E131" s="13">
        <v>800</v>
      </c>
      <c r="F131" s="13"/>
      <c r="G131" s="13"/>
      <c r="H131" s="310">
        <f t="shared" si="37"/>
        <v>800</v>
      </c>
    </row>
    <row r="132" spans="1:8" ht="15.75">
      <c r="A132" s="9"/>
      <c r="B132" s="10"/>
      <c r="C132" s="11">
        <v>4300</v>
      </c>
      <c r="D132" s="12" t="s">
        <v>93</v>
      </c>
      <c r="E132" s="13">
        <v>20000</v>
      </c>
      <c r="F132" s="13"/>
      <c r="G132" s="13"/>
      <c r="H132" s="310">
        <f t="shared" si="37"/>
        <v>20000</v>
      </c>
    </row>
    <row r="133" spans="1:8" ht="15.75">
      <c r="A133" s="9"/>
      <c r="B133" s="10"/>
      <c r="C133" s="11">
        <v>4360</v>
      </c>
      <c r="D133" s="12" t="s">
        <v>124</v>
      </c>
      <c r="E133" s="13">
        <v>1500</v>
      </c>
      <c r="F133" s="13"/>
      <c r="G133" s="13"/>
      <c r="H133" s="310">
        <f t="shared" si="37"/>
        <v>1500</v>
      </c>
    </row>
    <row r="134" spans="1:8" ht="15.75">
      <c r="A134" s="9"/>
      <c r="B134" s="10"/>
      <c r="C134" s="11">
        <v>4410</v>
      </c>
      <c r="D134" s="12" t="s">
        <v>125</v>
      </c>
      <c r="E134" s="13">
        <v>900</v>
      </c>
      <c r="F134" s="13"/>
      <c r="G134" s="13"/>
      <c r="H134" s="310">
        <f t="shared" si="37"/>
        <v>900</v>
      </c>
    </row>
    <row r="135" spans="1:8" ht="15.75">
      <c r="A135" s="9"/>
      <c r="B135" s="10"/>
      <c r="C135" s="11">
        <v>4440</v>
      </c>
      <c r="D135" s="12" t="s">
        <v>127</v>
      </c>
      <c r="E135" s="13">
        <f>16000+5755</f>
        <v>21755</v>
      </c>
      <c r="F135" s="13"/>
      <c r="G135" s="13"/>
      <c r="H135" s="310">
        <f t="shared" si="37"/>
        <v>21755</v>
      </c>
    </row>
    <row r="136" spans="1:8" ht="27" customHeight="1">
      <c r="A136" s="9"/>
      <c r="B136" s="10"/>
      <c r="C136" s="11">
        <v>4700</v>
      </c>
      <c r="D136" s="12" t="s">
        <v>128</v>
      </c>
      <c r="E136" s="13">
        <v>8000</v>
      </c>
      <c r="F136" s="13"/>
      <c r="G136" s="13"/>
      <c r="H136" s="310">
        <f t="shared" si="37"/>
        <v>8000</v>
      </c>
    </row>
    <row r="137" spans="1:8" ht="15.75">
      <c r="A137" s="9"/>
      <c r="B137" s="10"/>
      <c r="C137" s="11">
        <v>4710</v>
      </c>
      <c r="D137" s="12" t="s">
        <v>103</v>
      </c>
      <c r="E137" s="13">
        <v>1500</v>
      </c>
      <c r="F137" s="13">
        <v>500</v>
      </c>
      <c r="G137" s="13"/>
      <c r="H137" s="310">
        <f t="shared" si="37"/>
        <v>2000</v>
      </c>
    </row>
    <row r="138" spans="1:8" ht="15.75">
      <c r="A138" s="9"/>
      <c r="B138" s="10">
        <v>75095</v>
      </c>
      <c r="C138" s="11"/>
      <c r="D138" s="12" t="s">
        <v>8</v>
      </c>
      <c r="E138" s="13">
        <f>SUM(E139:E148)</f>
        <v>1724826.91</v>
      </c>
      <c r="F138" s="13">
        <f>SUM(F139:F148)</f>
        <v>30000</v>
      </c>
      <c r="G138" s="13">
        <f>SUM(G139:G148)</f>
        <v>0</v>
      </c>
      <c r="H138" s="310">
        <f>SUM(H139:H148)</f>
        <v>1754826.91</v>
      </c>
    </row>
    <row r="139" spans="1:8" ht="15.75">
      <c r="A139" s="9"/>
      <c r="B139" s="10"/>
      <c r="C139" s="11">
        <v>3030</v>
      </c>
      <c r="D139" s="12" t="s">
        <v>118</v>
      </c>
      <c r="E139" s="13">
        <v>81200</v>
      </c>
      <c r="F139" s="13"/>
      <c r="G139" s="13"/>
      <c r="H139" s="310">
        <f>E139+F139-G139</f>
        <v>81200</v>
      </c>
    </row>
    <row r="140" spans="1:8" ht="15.75">
      <c r="A140" s="9"/>
      <c r="B140" s="10"/>
      <c r="C140" s="11">
        <v>4100</v>
      </c>
      <c r="D140" s="12" t="s">
        <v>131</v>
      </c>
      <c r="E140" s="13">
        <v>5000</v>
      </c>
      <c r="F140" s="13"/>
      <c r="G140" s="13"/>
      <c r="H140" s="310">
        <f t="shared" ref="H140:H148" si="38">E140+F140-G140</f>
        <v>5000</v>
      </c>
    </row>
    <row r="141" spans="1:8" ht="15.75">
      <c r="A141" s="9"/>
      <c r="B141" s="10"/>
      <c r="C141" s="11">
        <v>4210</v>
      </c>
      <c r="D141" s="12" t="s">
        <v>102</v>
      </c>
      <c r="E141" s="13">
        <v>40000</v>
      </c>
      <c r="F141" s="13"/>
      <c r="G141" s="13"/>
      <c r="H141" s="310">
        <f t="shared" si="38"/>
        <v>40000</v>
      </c>
    </row>
    <row r="142" spans="1:8" ht="15.75">
      <c r="A142" s="9"/>
      <c r="B142" s="10"/>
      <c r="C142" s="11">
        <v>4300</v>
      </c>
      <c r="D142" s="12" t="s">
        <v>93</v>
      </c>
      <c r="E142" s="13">
        <v>120000</v>
      </c>
      <c r="F142" s="13"/>
      <c r="G142" s="13"/>
      <c r="H142" s="310">
        <f t="shared" si="38"/>
        <v>120000</v>
      </c>
    </row>
    <row r="143" spans="1:8" ht="15.75">
      <c r="A143" s="9"/>
      <c r="B143" s="10"/>
      <c r="C143" s="11">
        <v>4430</v>
      </c>
      <c r="D143" s="12" t="s">
        <v>95</v>
      </c>
      <c r="E143" s="13">
        <f>250000+165000</f>
        <v>415000</v>
      </c>
      <c r="F143" s="13"/>
      <c r="G143" s="13"/>
      <c r="H143" s="310">
        <f t="shared" si="38"/>
        <v>415000</v>
      </c>
    </row>
    <row r="144" spans="1:8" ht="15.75">
      <c r="A144" s="9"/>
      <c r="B144" s="10"/>
      <c r="C144" s="11">
        <v>4610</v>
      </c>
      <c r="D144" s="12" t="s">
        <v>115</v>
      </c>
      <c r="E144" s="13">
        <v>50000</v>
      </c>
      <c r="F144" s="13"/>
      <c r="G144" s="13"/>
      <c r="H144" s="310">
        <f t="shared" si="38"/>
        <v>50000</v>
      </c>
    </row>
    <row r="145" spans="1:8" ht="31.5">
      <c r="A145" s="9"/>
      <c r="B145" s="10"/>
      <c r="C145" s="11">
        <v>4740</v>
      </c>
      <c r="D145" s="12" t="s">
        <v>333</v>
      </c>
      <c r="E145" s="13">
        <f>26.25+773.77+643.19</f>
        <v>1443.21</v>
      </c>
      <c r="F145" s="13"/>
      <c r="G145" s="13"/>
      <c r="H145" s="310">
        <f t="shared" si="38"/>
        <v>1443.21</v>
      </c>
    </row>
    <row r="146" spans="1:8" ht="31.5">
      <c r="A146" s="9"/>
      <c r="B146" s="10"/>
      <c r="C146" s="11">
        <v>4850</v>
      </c>
      <c r="D146" s="12" t="s">
        <v>336</v>
      </c>
      <c r="E146" s="13">
        <f>5.13+151.27+123.3</f>
        <v>279.7</v>
      </c>
      <c r="F146" s="13"/>
      <c r="G146" s="13"/>
      <c r="H146" s="310">
        <f t="shared" si="38"/>
        <v>279.7</v>
      </c>
    </row>
    <row r="147" spans="1:8" ht="15.75">
      <c r="A147" s="9"/>
      <c r="B147" s="10"/>
      <c r="C147" s="11">
        <v>6067</v>
      </c>
      <c r="D147" s="12" t="s">
        <v>112</v>
      </c>
      <c r="E147" s="13">
        <f>756500</f>
        <v>756500</v>
      </c>
      <c r="F147" s="13"/>
      <c r="G147" s="13"/>
      <c r="H147" s="310">
        <f t="shared" si="38"/>
        <v>756500</v>
      </c>
    </row>
    <row r="148" spans="1:8" ht="15.75">
      <c r="A148" s="9"/>
      <c r="B148" s="10"/>
      <c r="C148" s="11">
        <v>6069</v>
      </c>
      <c r="D148" s="12" t="s">
        <v>112</v>
      </c>
      <c r="E148" s="13">
        <f>93500+161904</f>
        <v>255404</v>
      </c>
      <c r="F148" s="13">
        <v>30000</v>
      </c>
      <c r="G148" s="13"/>
      <c r="H148" s="310">
        <f t="shared" si="38"/>
        <v>285404</v>
      </c>
    </row>
    <row r="149" spans="1:8" ht="31.5">
      <c r="A149" s="9">
        <v>751</v>
      </c>
      <c r="B149" s="10"/>
      <c r="C149" s="11"/>
      <c r="D149" s="12" t="s">
        <v>32</v>
      </c>
      <c r="E149" s="13">
        <f>E150+E154+E163</f>
        <v>325412</v>
      </c>
      <c r="F149" s="13">
        <f t="shared" ref="F149:H149" si="39">F150+F154+F163</f>
        <v>46829</v>
      </c>
      <c r="G149" s="13">
        <f t="shared" si="39"/>
        <v>0</v>
      </c>
      <c r="H149" s="13">
        <f t="shared" si="39"/>
        <v>372241</v>
      </c>
    </row>
    <row r="150" spans="1:8" ht="31.5">
      <c r="A150" s="9"/>
      <c r="B150" s="10">
        <v>75101</v>
      </c>
      <c r="C150" s="11"/>
      <c r="D150" s="12" t="s">
        <v>33</v>
      </c>
      <c r="E150" s="13">
        <f>SUM(E151:E153)</f>
        <v>5849</v>
      </c>
      <c r="F150" s="13">
        <f t="shared" ref="F150:H150" si="40">SUM(F151:F153)</f>
        <v>0</v>
      </c>
      <c r="G150" s="13">
        <f t="shared" si="40"/>
        <v>0</v>
      </c>
      <c r="H150" s="310">
        <f t="shared" si="40"/>
        <v>5849</v>
      </c>
    </row>
    <row r="151" spans="1:8" ht="15.75">
      <c r="A151" s="9"/>
      <c r="B151" s="10"/>
      <c r="C151" s="11">
        <v>4010</v>
      </c>
      <c r="D151" s="12" t="s">
        <v>116</v>
      </c>
      <c r="E151" s="13">
        <v>4892</v>
      </c>
      <c r="F151" s="13"/>
      <c r="G151" s="13"/>
      <c r="H151" s="310">
        <f>E151+F151-G151</f>
        <v>4892</v>
      </c>
    </row>
    <row r="152" spans="1:8" ht="15.75">
      <c r="A152" s="9"/>
      <c r="B152" s="10"/>
      <c r="C152" s="11">
        <v>4110</v>
      </c>
      <c r="D152" s="12" t="s">
        <v>99</v>
      </c>
      <c r="E152" s="13">
        <v>837</v>
      </c>
      <c r="F152" s="13"/>
      <c r="G152" s="13"/>
      <c r="H152" s="310">
        <f t="shared" ref="H152:H153" si="41">E152+F152-G152</f>
        <v>837</v>
      </c>
    </row>
    <row r="153" spans="1:8" ht="15.75">
      <c r="A153" s="9"/>
      <c r="B153" s="10"/>
      <c r="C153" s="11">
        <v>4120</v>
      </c>
      <c r="D153" s="12" t="s">
        <v>100</v>
      </c>
      <c r="E153" s="13">
        <v>120</v>
      </c>
      <c r="F153" s="13"/>
      <c r="G153" s="13"/>
      <c r="H153" s="310">
        <f t="shared" si="41"/>
        <v>120</v>
      </c>
    </row>
    <row r="154" spans="1:8" ht="47.25">
      <c r="A154" s="70"/>
      <c r="B154" s="71">
        <v>75109</v>
      </c>
      <c r="C154" s="72"/>
      <c r="D154" s="73" t="s">
        <v>358</v>
      </c>
      <c r="E154" s="74">
        <f>SUM(E155:E162)</f>
        <v>319563</v>
      </c>
      <c r="F154" s="74">
        <f t="shared" ref="F154:H154" si="42">SUM(F155:F162)</f>
        <v>0</v>
      </c>
      <c r="G154" s="74">
        <f t="shared" si="42"/>
        <v>0</v>
      </c>
      <c r="H154" s="309">
        <f t="shared" si="42"/>
        <v>319563</v>
      </c>
    </row>
    <row r="155" spans="1:8" ht="15.75">
      <c r="A155" s="70"/>
      <c r="B155" s="71"/>
      <c r="C155" s="11">
        <v>3030</v>
      </c>
      <c r="D155" s="12" t="s">
        <v>118</v>
      </c>
      <c r="E155" s="74">
        <f>121000+64420+2660</f>
        <v>188080</v>
      </c>
      <c r="F155" s="74"/>
      <c r="G155" s="74"/>
      <c r="H155" s="310">
        <f>E155+F155-G155</f>
        <v>188080</v>
      </c>
    </row>
    <row r="156" spans="1:8" ht="15.75">
      <c r="A156" s="9"/>
      <c r="B156" s="10"/>
      <c r="C156" s="11">
        <v>4110</v>
      </c>
      <c r="D156" s="12" t="s">
        <v>99</v>
      </c>
      <c r="E156" s="13">
        <f>11301-6377+3513-946.02</f>
        <v>7490.98</v>
      </c>
      <c r="F156" s="13"/>
      <c r="G156" s="13"/>
      <c r="H156" s="310">
        <f>E156+F156-G156</f>
        <v>7490.98</v>
      </c>
    </row>
    <row r="157" spans="1:8" ht="15.75">
      <c r="A157" s="9"/>
      <c r="B157" s="10"/>
      <c r="C157" s="11">
        <v>4120</v>
      </c>
      <c r="D157" s="12" t="s">
        <v>100</v>
      </c>
      <c r="E157" s="13">
        <f>1619-914+509-284.41</f>
        <v>929.58999999999992</v>
      </c>
      <c r="F157" s="13"/>
      <c r="G157" s="13"/>
      <c r="H157" s="310">
        <f t="shared" ref="H157:H162" si="43">E157+F157-G157</f>
        <v>929.58999999999992</v>
      </c>
    </row>
    <row r="158" spans="1:8" ht="15.75">
      <c r="A158" s="9"/>
      <c r="B158" s="10"/>
      <c r="C158" s="11">
        <v>4170</v>
      </c>
      <c r="D158" s="12" t="s">
        <v>101</v>
      </c>
      <c r="E158" s="13">
        <f>66089-37296+20752+8201.63</f>
        <v>57746.63</v>
      </c>
      <c r="F158" s="13"/>
      <c r="G158" s="13"/>
      <c r="H158" s="310">
        <f t="shared" si="43"/>
        <v>57746.63</v>
      </c>
    </row>
    <row r="159" spans="1:8" ht="15.75">
      <c r="A159" s="9"/>
      <c r="B159" s="10"/>
      <c r="C159" s="11">
        <v>4210</v>
      </c>
      <c r="D159" s="12" t="s">
        <v>102</v>
      </c>
      <c r="E159" s="13">
        <f>5000+507.48</f>
        <v>5507.48</v>
      </c>
      <c r="F159" s="13"/>
      <c r="G159" s="13"/>
      <c r="H159" s="310">
        <f t="shared" si="43"/>
        <v>5507.48</v>
      </c>
    </row>
    <row r="160" spans="1:8" ht="15.75">
      <c r="A160" s="9"/>
      <c r="B160" s="10"/>
      <c r="C160" s="11">
        <v>4300</v>
      </c>
      <c r="D160" s="12" t="s">
        <v>93</v>
      </c>
      <c r="E160" s="13">
        <f>5000+2860+45146+11287-609-6735.68</f>
        <v>56948.32</v>
      </c>
      <c r="F160" s="13"/>
      <c r="G160" s="13"/>
      <c r="H160" s="310">
        <f t="shared" si="43"/>
        <v>56948.32</v>
      </c>
    </row>
    <row r="161" spans="1:8" ht="15.75">
      <c r="A161" s="9"/>
      <c r="B161" s="10"/>
      <c r="C161" s="11">
        <v>4410</v>
      </c>
      <c r="D161" s="12" t="s">
        <v>125</v>
      </c>
      <c r="E161" s="13">
        <f>2251+609</f>
        <v>2860</v>
      </c>
      <c r="F161" s="13"/>
      <c r="G161" s="13"/>
      <c r="H161" s="310">
        <f t="shared" si="43"/>
        <v>2860</v>
      </c>
    </row>
    <row r="162" spans="1:8" ht="15.75">
      <c r="A162" s="9"/>
      <c r="B162" s="10"/>
      <c r="C162" s="11">
        <v>4710</v>
      </c>
      <c r="D162" s="12" t="s">
        <v>103</v>
      </c>
      <c r="E162" s="13">
        <f>991-559+311-743</f>
        <v>0</v>
      </c>
      <c r="F162" s="13"/>
      <c r="G162" s="13"/>
      <c r="H162" s="310">
        <f t="shared" si="43"/>
        <v>0</v>
      </c>
    </row>
    <row r="163" spans="1:8" ht="15.75">
      <c r="A163" s="70"/>
      <c r="B163" s="71">
        <v>75113</v>
      </c>
      <c r="C163" s="72"/>
      <c r="D163" s="73" t="s">
        <v>426</v>
      </c>
      <c r="E163" s="74">
        <f>SUM(E164:E168)</f>
        <v>0</v>
      </c>
      <c r="F163" s="74">
        <f t="shared" ref="F163:H163" si="44">SUM(F164:F168)</f>
        <v>46829</v>
      </c>
      <c r="G163" s="74">
        <f t="shared" si="44"/>
        <v>0</v>
      </c>
      <c r="H163" s="74">
        <f t="shared" si="44"/>
        <v>46829</v>
      </c>
    </row>
    <row r="164" spans="1:8" ht="15.75">
      <c r="A164" s="9"/>
      <c r="B164" s="10"/>
      <c r="C164" s="11">
        <v>4110</v>
      </c>
      <c r="D164" s="12" t="s">
        <v>99</v>
      </c>
      <c r="E164" s="13"/>
      <c r="F164" s="13">
        <v>5673</v>
      </c>
      <c r="G164" s="13"/>
      <c r="H164" s="13">
        <f>E164+F164-G164</f>
        <v>5673</v>
      </c>
    </row>
    <row r="165" spans="1:8" ht="15.75">
      <c r="A165" s="9"/>
      <c r="B165" s="10"/>
      <c r="C165" s="11">
        <v>4120</v>
      </c>
      <c r="D165" s="12" t="s">
        <v>100</v>
      </c>
      <c r="E165" s="13"/>
      <c r="F165" s="13">
        <v>821</v>
      </c>
      <c r="G165" s="13"/>
      <c r="H165" s="13">
        <f t="shared" ref="H165:H168" si="45">E165+F165-G165</f>
        <v>821</v>
      </c>
    </row>
    <row r="166" spans="1:8" ht="15.75">
      <c r="A166" s="9"/>
      <c r="B166" s="10"/>
      <c r="C166" s="11">
        <v>4170</v>
      </c>
      <c r="D166" s="12" t="s">
        <v>101</v>
      </c>
      <c r="E166" s="13"/>
      <c r="F166" s="13">
        <v>33506</v>
      </c>
      <c r="G166" s="13"/>
      <c r="H166" s="13">
        <f t="shared" si="45"/>
        <v>33506</v>
      </c>
    </row>
    <row r="167" spans="1:8" ht="15.75">
      <c r="A167" s="9"/>
      <c r="B167" s="10"/>
      <c r="C167" s="11">
        <v>4210</v>
      </c>
      <c r="D167" s="12" t="s">
        <v>102</v>
      </c>
      <c r="E167" s="13"/>
      <c r="F167" s="13">
        <v>3829</v>
      </c>
      <c r="G167" s="13"/>
      <c r="H167" s="13">
        <f t="shared" si="45"/>
        <v>3829</v>
      </c>
    </row>
    <row r="168" spans="1:8" ht="15.75">
      <c r="A168" s="9"/>
      <c r="B168" s="10"/>
      <c r="C168" s="11">
        <v>4300</v>
      </c>
      <c r="D168" s="12" t="s">
        <v>93</v>
      </c>
      <c r="E168" s="13"/>
      <c r="F168" s="13">
        <v>3000</v>
      </c>
      <c r="G168" s="13"/>
      <c r="H168" s="13">
        <f t="shared" si="45"/>
        <v>3000</v>
      </c>
    </row>
    <row r="169" spans="1:8" ht="15.75">
      <c r="A169" s="9">
        <v>754</v>
      </c>
      <c r="B169" s="10"/>
      <c r="C169" s="11"/>
      <c r="D169" s="12" t="s">
        <v>34</v>
      </c>
      <c r="E169" s="13">
        <f>E172+E179+E184+E200+E170</f>
        <v>3065962</v>
      </c>
      <c r="F169" s="13">
        <f t="shared" ref="F169:H169" si="46">F172+F179+F184+F200+F170</f>
        <v>480000</v>
      </c>
      <c r="G169" s="13">
        <f t="shared" si="46"/>
        <v>0</v>
      </c>
      <c r="H169" s="13">
        <f t="shared" si="46"/>
        <v>3545962</v>
      </c>
    </row>
    <row r="170" spans="1:8" ht="15.75">
      <c r="A170" s="9"/>
      <c r="B170" s="10">
        <v>75410</v>
      </c>
      <c r="C170" s="11"/>
      <c r="D170" s="12" t="s">
        <v>459</v>
      </c>
      <c r="E170" s="13">
        <f>E171</f>
        <v>0</v>
      </c>
      <c r="F170" s="13">
        <f t="shared" ref="F170:H170" si="47">F171</f>
        <v>39000</v>
      </c>
      <c r="G170" s="13">
        <f t="shared" si="47"/>
        <v>0</v>
      </c>
      <c r="H170" s="13">
        <f t="shared" si="47"/>
        <v>39000</v>
      </c>
    </row>
    <row r="171" spans="1:8" ht="31.5">
      <c r="A171" s="9"/>
      <c r="B171" s="10"/>
      <c r="C171" s="72">
        <v>6170</v>
      </c>
      <c r="D171" s="73" t="s">
        <v>448</v>
      </c>
      <c r="E171" s="13"/>
      <c r="F171" s="13">
        <v>39000</v>
      </c>
      <c r="G171" s="13"/>
      <c r="H171" s="310">
        <f>E171+F171-G171</f>
        <v>39000</v>
      </c>
    </row>
    <row r="172" spans="1:8" ht="15.75">
      <c r="A172" s="9"/>
      <c r="B172" s="10">
        <v>75412</v>
      </c>
      <c r="C172" s="11"/>
      <c r="D172" s="12" t="s">
        <v>132</v>
      </c>
      <c r="E172" s="13">
        <f>SUM(E173:E178)</f>
        <v>360000</v>
      </c>
      <c r="F172" s="13">
        <f t="shared" ref="F172:H172" si="48">SUM(F173:F178)</f>
        <v>0</v>
      </c>
      <c r="G172" s="13">
        <f t="shared" si="48"/>
        <v>0</v>
      </c>
      <c r="H172" s="310">
        <f t="shared" si="48"/>
        <v>360000</v>
      </c>
    </row>
    <row r="173" spans="1:8" ht="15.75">
      <c r="A173" s="9"/>
      <c r="B173" s="10"/>
      <c r="C173" s="11">
        <v>3030</v>
      </c>
      <c r="D173" s="12" t="s">
        <v>118</v>
      </c>
      <c r="E173" s="13">
        <v>128000</v>
      </c>
      <c r="F173" s="13"/>
      <c r="G173" s="13"/>
      <c r="H173" s="310">
        <f>E173+F173-G173</f>
        <v>128000</v>
      </c>
    </row>
    <row r="174" spans="1:8" ht="15.75">
      <c r="A174" s="9"/>
      <c r="B174" s="10"/>
      <c r="C174" s="11">
        <v>4170</v>
      </c>
      <c r="D174" s="12" t="s">
        <v>101</v>
      </c>
      <c r="E174" s="13">
        <v>20000</v>
      </c>
      <c r="F174" s="13"/>
      <c r="G174" s="13"/>
      <c r="H174" s="310">
        <f t="shared" ref="H174:H178" si="49">E174+F174-G174</f>
        <v>20000</v>
      </c>
    </row>
    <row r="175" spans="1:8" ht="15.75">
      <c r="A175" s="9"/>
      <c r="B175" s="10"/>
      <c r="C175" s="11">
        <v>4210</v>
      </c>
      <c r="D175" s="12" t="s">
        <v>102</v>
      </c>
      <c r="E175" s="13">
        <v>115000</v>
      </c>
      <c r="F175" s="13"/>
      <c r="G175" s="13"/>
      <c r="H175" s="310">
        <f t="shared" si="49"/>
        <v>115000</v>
      </c>
    </row>
    <row r="176" spans="1:8" ht="15.75">
      <c r="A176" s="9"/>
      <c r="B176" s="10"/>
      <c r="C176" s="11">
        <v>4300</v>
      </c>
      <c r="D176" s="12" t="s">
        <v>93</v>
      </c>
      <c r="E176" s="13">
        <v>83000</v>
      </c>
      <c r="F176" s="13"/>
      <c r="G176" s="13"/>
      <c r="H176" s="310">
        <f t="shared" si="49"/>
        <v>83000</v>
      </c>
    </row>
    <row r="177" spans="1:8" ht="15.75">
      <c r="A177" s="9"/>
      <c r="B177" s="10"/>
      <c r="C177" s="11">
        <v>4360</v>
      </c>
      <c r="D177" s="12" t="s">
        <v>124</v>
      </c>
      <c r="E177" s="13">
        <v>7000</v>
      </c>
      <c r="F177" s="13"/>
      <c r="G177" s="13"/>
      <c r="H177" s="310">
        <f t="shared" si="49"/>
        <v>7000</v>
      </c>
    </row>
    <row r="178" spans="1:8" ht="15.75">
      <c r="A178" s="9"/>
      <c r="B178" s="10"/>
      <c r="C178" s="11">
        <v>4430</v>
      </c>
      <c r="D178" s="12" t="s">
        <v>95</v>
      </c>
      <c r="E178" s="13">
        <v>7000</v>
      </c>
      <c r="F178" s="13"/>
      <c r="G178" s="13"/>
      <c r="H178" s="310">
        <f t="shared" si="49"/>
        <v>7000</v>
      </c>
    </row>
    <row r="179" spans="1:8" ht="15.75">
      <c r="A179" s="9"/>
      <c r="B179" s="10">
        <v>75414</v>
      </c>
      <c r="C179" s="11"/>
      <c r="D179" s="12" t="s">
        <v>133</v>
      </c>
      <c r="E179" s="13">
        <f>SUM(E180:E183)</f>
        <v>55000</v>
      </c>
      <c r="F179" s="13">
        <f t="shared" ref="F179:H179" si="50">SUM(F180:F183)</f>
        <v>0</v>
      </c>
      <c r="G179" s="13">
        <f t="shared" si="50"/>
        <v>0</v>
      </c>
      <c r="H179" s="310">
        <f t="shared" si="50"/>
        <v>55000</v>
      </c>
    </row>
    <row r="180" spans="1:8" ht="15.75">
      <c r="A180" s="9"/>
      <c r="B180" s="10"/>
      <c r="C180" s="11">
        <v>4170</v>
      </c>
      <c r="D180" s="12" t="s">
        <v>101</v>
      </c>
      <c r="E180" s="13">
        <v>5000</v>
      </c>
      <c r="F180" s="13"/>
      <c r="G180" s="13"/>
      <c r="H180" s="310">
        <f>E180+F180-G180</f>
        <v>5000</v>
      </c>
    </row>
    <row r="181" spans="1:8" ht="15.75">
      <c r="A181" s="9"/>
      <c r="B181" s="10"/>
      <c r="C181" s="11">
        <v>4210</v>
      </c>
      <c r="D181" s="12" t="s">
        <v>102</v>
      </c>
      <c r="E181" s="13">
        <v>5000</v>
      </c>
      <c r="F181" s="13"/>
      <c r="G181" s="13"/>
      <c r="H181" s="310">
        <f t="shared" ref="H181:H183" si="51">E181+F181-G181</f>
        <v>5000</v>
      </c>
    </row>
    <row r="182" spans="1:8" ht="15.75">
      <c r="A182" s="9"/>
      <c r="B182" s="10"/>
      <c r="C182" s="11">
        <v>4300</v>
      </c>
      <c r="D182" s="12" t="s">
        <v>93</v>
      </c>
      <c r="E182" s="13">
        <v>25000</v>
      </c>
      <c r="F182" s="13"/>
      <c r="G182" s="13"/>
      <c r="H182" s="310">
        <f t="shared" si="51"/>
        <v>25000</v>
      </c>
    </row>
    <row r="183" spans="1:8" ht="15.75">
      <c r="A183" s="9"/>
      <c r="B183" s="10"/>
      <c r="C183" s="11">
        <v>6060</v>
      </c>
      <c r="D183" s="12" t="s">
        <v>112</v>
      </c>
      <c r="E183" s="13">
        <v>20000</v>
      </c>
      <c r="F183" s="13"/>
      <c r="G183" s="13"/>
      <c r="H183" s="310">
        <f t="shared" si="51"/>
        <v>20000</v>
      </c>
    </row>
    <row r="184" spans="1:8" ht="15.75">
      <c r="A184" s="62"/>
      <c r="B184" s="10">
        <v>75416</v>
      </c>
      <c r="C184" s="11"/>
      <c r="D184" s="12" t="s">
        <v>35</v>
      </c>
      <c r="E184" s="13">
        <f>SUM(E185:E199)</f>
        <v>1790962</v>
      </c>
      <c r="F184" s="13">
        <f t="shared" ref="F184:H184" si="52">SUM(F185:F199)</f>
        <v>91000</v>
      </c>
      <c r="G184" s="13">
        <f t="shared" si="52"/>
        <v>0</v>
      </c>
      <c r="H184" s="310">
        <f t="shared" si="52"/>
        <v>1881962</v>
      </c>
    </row>
    <row r="185" spans="1:8" ht="15.75">
      <c r="A185" s="9"/>
      <c r="B185" s="10"/>
      <c r="C185" s="11">
        <v>3020</v>
      </c>
      <c r="D185" s="12" t="s">
        <v>119</v>
      </c>
      <c r="E185" s="13">
        <v>80000</v>
      </c>
      <c r="F185" s="13"/>
      <c r="G185" s="13"/>
      <c r="H185" s="310">
        <f>E185+F185-G185</f>
        <v>80000</v>
      </c>
    </row>
    <row r="186" spans="1:8" ht="15.75">
      <c r="A186" s="62"/>
      <c r="B186" s="10"/>
      <c r="C186" s="11">
        <v>4010</v>
      </c>
      <c r="D186" s="12" t="s">
        <v>116</v>
      </c>
      <c r="E186" s="13">
        <v>1070118</v>
      </c>
      <c r="F186" s="13">
        <v>50000</v>
      </c>
      <c r="G186" s="13"/>
      <c r="H186" s="310">
        <f t="shared" ref="H186:H198" si="53">E186+F186-G186</f>
        <v>1120118</v>
      </c>
    </row>
    <row r="187" spans="1:8" ht="15.75">
      <c r="A187" s="62"/>
      <c r="B187" s="10"/>
      <c r="C187" s="11">
        <v>4040</v>
      </c>
      <c r="D187" s="12" t="s">
        <v>120</v>
      </c>
      <c r="E187" s="13">
        <v>79866</v>
      </c>
      <c r="F187" s="13"/>
      <c r="G187" s="13"/>
      <c r="H187" s="310">
        <f t="shared" si="53"/>
        <v>79866</v>
      </c>
    </row>
    <row r="188" spans="1:8" ht="15.75">
      <c r="A188" s="62"/>
      <c r="B188" s="10"/>
      <c r="C188" s="11">
        <v>4110</v>
      </c>
      <c r="D188" s="12" t="s">
        <v>99</v>
      </c>
      <c r="E188" s="13">
        <v>175246</v>
      </c>
      <c r="F188" s="13">
        <v>30000</v>
      </c>
      <c r="G188" s="13"/>
      <c r="H188" s="310">
        <f t="shared" si="53"/>
        <v>205246</v>
      </c>
    </row>
    <row r="189" spans="1:8" ht="15.75">
      <c r="A189" s="62"/>
      <c r="B189" s="10"/>
      <c r="C189" s="11">
        <v>4120</v>
      </c>
      <c r="D189" s="12" t="s">
        <v>100</v>
      </c>
      <c r="E189" s="13">
        <v>24977</v>
      </c>
      <c r="F189" s="13">
        <v>10000</v>
      </c>
      <c r="G189" s="13"/>
      <c r="H189" s="310">
        <f t="shared" si="53"/>
        <v>34977</v>
      </c>
    </row>
    <row r="190" spans="1:8" ht="15.75">
      <c r="A190" s="9"/>
      <c r="B190" s="10"/>
      <c r="C190" s="11">
        <v>4210</v>
      </c>
      <c r="D190" s="12" t="s">
        <v>102</v>
      </c>
      <c r="E190" s="13">
        <v>50000</v>
      </c>
      <c r="F190" s="13"/>
      <c r="G190" s="13"/>
      <c r="H190" s="310">
        <f t="shared" si="53"/>
        <v>50000</v>
      </c>
    </row>
    <row r="191" spans="1:8" ht="15.75">
      <c r="A191" s="9"/>
      <c r="B191" s="10"/>
      <c r="C191" s="11">
        <v>4280</v>
      </c>
      <c r="D191" s="12" t="s">
        <v>123</v>
      </c>
      <c r="E191" s="13">
        <v>5000</v>
      </c>
      <c r="F191" s="13"/>
      <c r="G191" s="13"/>
      <c r="H191" s="310">
        <f t="shared" si="53"/>
        <v>5000</v>
      </c>
    </row>
    <row r="192" spans="1:8" ht="15.75">
      <c r="A192" s="9"/>
      <c r="B192" s="10"/>
      <c r="C192" s="11">
        <v>4300</v>
      </c>
      <c r="D192" s="12" t="s">
        <v>93</v>
      </c>
      <c r="E192" s="13">
        <v>35000</v>
      </c>
      <c r="F192" s="13"/>
      <c r="G192" s="13"/>
      <c r="H192" s="310">
        <f t="shared" si="53"/>
        <v>35000</v>
      </c>
    </row>
    <row r="193" spans="1:8" ht="15.75">
      <c r="A193" s="9"/>
      <c r="B193" s="10"/>
      <c r="C193" s="11">
        <v>4360</v>
      </c>
      <c r="D193" s="12" t="s">
        <v>124</v>
      </c>
      <c r="E193" s="13">
        <v>7000</v>
      </c>
      <c r="F193" s="13"/>
      <c r="G193" s="13"/>
      <c r="H193" s="310">
        <f t="shared" si="53"/>
        <v>7000</v>
      </c>
    </row>
    <row r="194" spans="1:8" ht="15.75">
      <c r="A194" s="9"/>
      <c r="B194" s="10"/>
      <c r="C194" s="11">
        <v>4410</v>
      </c>
      <c r="D194" s="12" t="s">
        <v>125</v>
      </c>
      <c r="E194" s="13">
        <v>12000</v>
      </c>
      <c r="F194" s="13"/>
      <c r="G194" s="13"/>
      <c r="H194" s="310">
        <f t="shared" si="53"/>
        <v>12000</v>
      </c>
    </row>
    <row r="195" spans="1:8" ht="15.75">
      <c r="A195" s="9"/>
      <c r="B195" s="10"/>
      <c r="C195" s="11">
        <v>4430</v>
      </c>
      <c r="D195" s="12" t="s">
        <v>95</v>
      </c>
      <c r="E195" s="13">
        <v>12000</v>
      </c>
      <c r="F195" s="13"/>
      <c r="G195" s="13"/>
      <c r="H195" s="310">
        <f t="shared" si="53"/>
        <v>12000</v>
      </c>
    </row>
    <row r="196" spans="1:8" ht="15.75">
      <c r="A196" s="9"/>
      <c r="B196" s="10"/>
      <c r="C196" s="11">
        <v>4440</v>
      </c>
      <c r="D196" s="12" t="s">
        <v>127</v>
      </c>
      <c r="E196" s="13">
        <f>18000+3755</f>
        <v>21755</v>
      </c>
      <c r="F196" s="13"/>
      <c r="G196" s="13"/>
      <c r="H196" s="310">
        <f t="shared" si="53"/>
        <v>21755</v>
      </c>
    </row>
    <row r="197" spans="1:8" ht="30.75" customHeight="1">
      <c r="A197" s="9"/>
      <c r="B197" s="10"/>
      <c r="C197" s="11">
        <v>4700</v>
      </c>
      <c r="D197" s="12" t="s">
        <v>128</v>
      </c>
      <c r="E197" s="13">
        <f>25000-5500</f>
        <v>19500</v>
      </c>
      <c r="F197" s="13"/>
      <c r="G197" s="13"/>
      <c r="H197" s="310">
        <f t="shared" si="53"/>
        <v>19500</v>
      </c>
    </row>
    <row r="198" spans="1:8" ht="15.75">
      <c r="A198" s="9"/>
      <c r="B198" s="10"/>
      <c r="C198" s="11">
        <v>4710</v>
      </c>
      <c r="D198" s="12" t="s">
        <v>103</v>
      </c>
      <c r="E198" s="13">
        <v>5000</v>
      </c>
      <c r="F198" s="13">
        <v>1000</v>
      </c>
      <c r="G198" s="13"/>
      <c r="H198" s="310">
        <f t="shared" si="53"/>
        <v>6000</v>
      </c>
    </row>
    <row r="199" spans="1:8" ht="15.75">
      <c r="A199" s="9"/>
      <c r="B199" s="10"/>
      <c r="C199" s="11">
        <v>6060</v>
      </c>
      <c r="D199" s="12" t="s">
        <v>112</v>
      </c>
      <c r="E199" s="13">
        <f>177000+11000+5500</f>
        <v>193500</v>
      </c>
      <c r="F199" s="13"/>
      <c r="G199" s="13"/>
      <c r="H199" s="310">
        <f>E199+F199-G199</f>
        <v>193500</v>
      </c>
    </row>
    <row r="200" spans="1:8" ht="15.75">
      <c r="A200" s="9"/>
      <c r="B200" s="10">
        <v>75495</v>
      </c>
      <c r="C200" s="11"/>
      <c r="D200" s="12" t="s">
        <v>8</v>
      </c>
      <c r="E200" s="13">
        <f>SUM(E201:E204)</f>
        <v>860000</v>
      </c>
      <c r="F200" s="13">
        <f t="shared" ref="F200:H200" si="54">SUM(F201:F204)</f>
        <v>350000</v>
      </c>
      <c r="G200" s="13">
        <f t="shared" si="54"/>
        <v>0</v>
      </c>
      <c r="H200" s="310">
        <f t="shared" si="54"/>
        <v>1210000</v>
      </c>
    </row>
    <row r="201" spans="1:8" ht="15.75">
      <c r="A201" s="9"/>
      <c r="B201" s="10"/>
      <c r="C201" s="11">
        <v>4210</v>
      </c>
      <c r="D201" s="12" t="s">
        <v>102</v>
      </c>
      <c r="E201" s="13">
        <v>20000</v>
      </c>
      <c r="F201" s="13"/>
      <c r="G201" s="13"/>
      <c r="H201" s="310">
        <f>E201+F201-G201</f>
        <v>20000</v>
      </c>
    </row>
    <row r="202" spans="1:8" ht="15.75">
      <c r="A202" s="9"/>
      <c r="B202" s="10"/>
      <c r="C202" s="11">
        <v>4260</v>
      </c>
      <c r="D202" s="12" t="s">
        <v>111</v>
      </c>
      <c r="E202" s="13">
        <v>30000</v>
      </c>
      <c r="F202" s="13"/>
      <c r="G202" s="13"/>
      <c r="H202" s="310">
        <f t="shared" ref="H202:H204" si="55">E202+F202-G202</f>
        <v>30000</v>
      </c>
    </row>
    <row r="203" spans="1:8" ht="15.75">
      <c r="A203" s="9"/>
      <c r="B203" s="10"/>
      <c r="C203" s="11">
        <v>4300</v>
      </c>
      <c r="D203" s="12" t="s">
        <v>93</v>
      </c>
      <c r="E203" s="13">
        <v>200000</v>
      </c>
      <c r="F203" s="13"/>
      <c r="G203" s="13"/>
      <c r="H203" s="310">
        <f t="shared" si="55"/>
        <v>200000</v>
      </c>
    </row>
    <row r="204" spans="1:8" ht="15.75">
      <c r="A204" s="9"/>
      <c r="B204" s="10"/>
      <c r="C204" s="11">
        <v>6050</v>
      </c>
      <c r="D204" s="12" t="s">
        <v>98</v>
      </c>
      <c r="E204" s="13">
        <v>610000</v>
      </c>
      <c r="F204" s="13">
        <f>150000+200000</f>
        <v>350000</v>
      </c>
      <c r="G204" s="13"/>
      <c r="H204" s="310">
        <f t="shared" si="55"/>
        <v>960000</v>
      </c>
    </row>
    <row r="205" spans="1:8" ht="15.75">
      <c r="A205" s="9">
        <v>757</v>
      </c>
      <c r="B205" s="10"/>
      <c r="C205" s="11"/>
      <c r="D205" s="12" t="s">
        <v>134</v>
      </c>
      <c r="E205" s="13">
        <f>E206</f>
        <v>1936732</v>
      </c>
      <c r="F205" s="13">
        <f t="shared" ref="F205:H205" si="56">F206</f>
        <v>400000</v>
      </c>
      <c r="G205" s="13">
        <f t="shared" si="56"/>
        <v>0</v>
      </c>
      <c r="H205" s="310">
        <f t="shared" si="56"/>
        <v>2336732</v>
      </c>
    </row>
    <row r="206" spans="1:8" ht="47.25" customHeight="1">
      <c r="A206" s="9"/>
      <c r="B206" s="10">
        <v>75702</v>
      </c>
      <c r="C206" s="11"/>
      <c r="D206" s="12" t="s">
        <v>135</v>
      </c>
      <c r="E206" s="13">
        <f>SUM(E207:E208)</f>
        <v>1936732</v>
      </c>
      <c r="F206" s="13">
        <f t="shared" ref="F206:H206" si="57">SUM(F207:F208)</f>
        <v>400000</v>
      </c>
      <c r="G206" s="13">
        <f t="shared" si="57"/>
        <v>0</v>
      </c>
      <c r="H206" s="310">
        <f t="shared" si="57"/>
        <v>2336732</v>
      </c>
    </row>
    <row r="207" spans="1:8" ht="31.5">
      <c r="A207" s="340"/>
      <c r="B207" s="10"/>
      <c r="C207" s="11">
        <v>8090</v>
      </c>
      <c r="D207" s="12" t="s">
        <v>136</v>
      </c>
      <c r="E207" s="13">
        <v>20000</v>
      </c>
      <c r="F207" s="13"/>
      <c r="G207" s="13"/>
      <c r="H207" s="310">
        <f>E207+F207-G207</f>
        <v>20000</v>
      </c>
    </row>
    <row r="208" spans="1:8" ht="47.25">
      <c r="A208" s="9"/>
      <c r="B208" s="10"/>
      <c r="C208" s="11">
        <v>8110</v>
      </c>
      <c r="D208" s="12" t="s">
        <v>137</v>
      </c>
      <c r="E208" s="13">
        <v>1916732</v>
      </c>
      <c r="F208" s="13">
        <v>400000</v>
      </c>
      <c r="G208" s="13"/>
      <c r="H208" s="310">
        <f>E208+F208-G208</f>
        <v>2316732</v>
      </c>
    </row>
    <row r="209" spans="1:8" ht="15.75">
      <c r="A209" s="9">
        <v>758</v>
      </c>
      <c r="B209" s="10"/>
      <c r="C209" s="11"/>
      <c r="D209" s="12" t="s">
        <v>54</v>
      </c>
      <c r="E209" s="13">
        <f>E210+E212</f>
        <v>5394881</v>
      </c>
      <c r="F209" s="13">
        <f>F210+F212</f>
        <v>0</v>
      </c>
      <c r="G209" s="13">
        <f>G210+G212</f>
        <v>0</v>
      </c>
      <c r="H209" s="310">
        <f>H210+H212</f>
        <v>5394881</v>
      </c>
    </row>
    <row r="210" spans="1:8" ht="15.75">
      <c r="A210" s="9"/>
      <c r="B210" s="10">
        <v>75818</v>
      </c>
      <c r="C210" s="11"/>
      <c r="D210" s="12" t="s">
        <v>138</v>
      </c>
      <c r="E210" s="13">
        <f>E211</f>
        <v>838570</v>
      </c>
      <c r="F210" s="13">
        <f t="shared" ref="F210:H210" si="58">F211</f>
        <v>0</v>
      </c>
      <c r="G210" s="13">
        <f t="shared" si="58"/>
        <v>0</v>
      </c>
      <c r="H210" s="310">
        <f t="shared" si="58"/>
        <v>838570</v>
      </c>
    </row>
    <row r="211" spans="1:8" ht="15.75">
      <c r="A211" s="9"/>
      <c r="B211" s="10"/>
      <c r="C211" s="11">
        <v>4810</v>
      </c>
      <c r="D211" s="12" t="s">
        <v>139</v>
      </c>
      <c r="E211" s="13">
        <f>530000+60000+253475+1413+579792-5110-540000-35000-6000</f>
        <v>838570</v>
      </c>
      <c r="F211" s="13"/>
      <c r="G211" s="13"/>
      <c r="H211" s="310">
        <f>E211+F211-G211</f>
        <v>838570</v>
      </c>
    </row>
    <row r="212" spans="1:8" ht="15.75">
      <c r="A212" s="9"/>
      <c r="B212" s="10">
        <v>75831</v>
      </c>
      <c r="C212" s="11"/>
      <c r="D212" s="12" t="s">
        <v>140</v>
      </c>
      <c r="E212" s="13">
        <f>E213</f>
        <v>4556311</v>
      </c>
      <c r="F212" s="13">
        <f t="shared" ref="F212:H212" si="59">F213</f>
        <v>0</v>
      </c>
      <c r="G212" s="13">
        <f t="shared" si="59"/>
        <v>0</v>
      </c>
      <c r="H212" s="310">
        <f t="shared" si="59"/>
        <v>4556311</v>
      </c>
    </row>
    <row r="213" spans="1:8" ht="15.75">
      <c r="A213" s="9"/>
      <c r="B213" s="10"/>
      <c r="C213" s="11">
        <v>2930</v>
      </c>
      <c r="D213" s="12" t="s">
        <v>141</v>
      </c>
      <c r="E213" s="13">
        <v>4556311</v>
      </c>
      <c r="F213" s="13"/>
      <c r="G213" s="13"/>
      <c r="H213" s="310">
        <f>E213+F213-G213</f>
        <v>4556311</v>
      </c>
    </row>
    <row r="214" spans="1:8" ht="15.75">
      <c r="A214" s="70">
        <v>801</v>
      </c>
      <c r="B214" s="71"/>
      <c r="C214" s="72"/>
      <c r="D214" s="73" t="s">
        <v>58</v>
      </c>
      <c r="E214" s="74">
        <f>E215+E245+E257+E287+E290+E299+E301+E303+E306+E320+E309+E318</f>
        <v>133993569.31999999</v>
      </c>
      <c r="F214" s="74">
        <f>F215+F245+F257+F287+F290+F299+F301+F303+F306+F320+F309+F318</f>
        <v>19113328.559999999</v>
      </c>
      <c r="G214" s="74">
        <f>G215+G245+G257+G287+G290+G299+G301+G303+G306+G320+G309+G318</f>
        <v>462395</v>
      </c>
      <c r="H214" s="309">
        <f>H215+H245+H257+H287+H290+H299+H301+H303+H306+H320+H309+H318</f>
        <v>152644502.88000003</v>
      </c>
    </row>
    <row r="215" spans="1:8" ht="15.75">
      <c r="A215" s="70"/>
      <c r="B215" s="71">
        <v>80101</v>
      </c>
      <c r="C215" s="72"/>
      <c r="D215" s="73" t="s">
        <v>59</v>
      </c>
      <c r="E215" s="74">
        <f>SUM(E216:E244)</f>
        <v>69366002.319999993</v>
      </c>
      <c r="F215" s="74">
        <f t="shared" ref="F215:H215" si="60">SUM(F216:F244)</f>
        <v>6750140.4800000004</v>
      </c>
      <c r="G215" s="74">
        <f t="shared" si="60"/>
        <v>461800</v>
      </c>
      <c r="H215" s="309">
        <f t="shared" si="60"/>
        <v>75654342.799999997</v>
      </c>
    </row>
    <row r="216" spans="1:8" ht="31.5">
      <c r="A216" s="70"/>
      <c r="B216" s="71"/>
      <c r="C216" s="72">
        <v>2540</v>
      </c>
      <c r="D216" s="73" t="s">
        <v>142</v>
      </c>
      <c r="E216" s="74">
        <f>1200000+900000+220000+150000</f>
        <v>2470000</v>
      </c>
      <c r="F216" s="74"/>
      <c r="G216" s="74"/>
      <c r="H216" s="309">
        <f>E216+F216-G216</f>
        <v>2470000</v>
      </c>
    </row>
    <row r="217" spans="1:8" ht="47.25">
      <c r="A217" s="70"/>
      <c r="B217" s="71"/>
      <c r="C217" s="11">
        <v>2710</v>
      </c>
      <c r="D217" s="12" t="s">
        <v>106</v>
      </c>
      <c r="E217" s="13">
        <v>129000</v>
      </c>
      <c r="F217" s="13"/>
      <c r="G217" s="13"/>
      <c r="H217" s="309">
        <f t="shared" ref="H217:H244" si="61">E217+F217-G217</f>
        <v>129000</v>
      </c>
    </row>
    <row r="218" spans="1:8" ht="15.75">
      <c r="A218" s="70"/>
      <c r="B218" s="71"/>
      <c r="C218" s="72">
        <v>3020</v>
      </c>
      <c r="D218" s="73" t="s">
        <v>119</v>
      </c>
      <c r="E218" s="74">
        <f>2019000-153710+144000-48100</f>
        <v>1961190</v>
      </c>
      <c r="F218" s="74">
        <v>435258.48</v>
      </c>
      <c r="G218" s="74">
        <v>20000</v>
      </c>
      <c r="H218" s="309">
        <f t="shared" si="61"/>
        <v>2376448.48</v>
      </c>
    </row>
    <row r="219" spans="1:8" ht="15.75">
      <c r="A219" s="70"/>
      <c r="B219" s="71"/>
      <c r="C219" s="72">
        <v>4010</v>
      </c>
      <c r="D219" s="73" t="s">
        <v>116</v>
      </c>
      <c r="E219" s="74">
        <f>4871000-24000+3480000</f>
        <v>8327000</v>
      </c>
      <c r="F219" s="74"/>
      <c r="G219" s="74"/>
      <c r="H219" s="309">
        <f t="shared" si="61"/>
        <v>8327000</v>
      </c>
    </row>
    <row r="220" spans="1:8" ht="15.75">
      <c r="A220" s="70"/>
      <c r="B220" s="71"/>
      <c r="C220" s="72">
        <v>4040</v>
      </c>
      <c r="D220" s="73" t="s">
        <v>120</v>
      </c>
      <c r="E220" s="74">
        <f>327000+7000</f>
        <v>334000</v>
      </c>
      <c r="F220" s="74"/>
      <c r="G220" s="74"/>
      <c r="H220" s="309">
        <f t="shared" si="61"/>
        <v>334000</v>
      </c>
    </row>
    <row r="221" spans="1:8" ht="15.75">
      <c r="A221" s="70"/>
      <c r="B221" s="71"/>
      <c r="C221" s="72">
        <v>4110</v>
      </c>
      <c r="D221" s="73" t="s">
        <v>99</v>
      </c>
      <c r="E221" s="74">
        <f>6068000-527865+1032000</f>
        <v>6572135</v>
      </c>
      <c r="F221" s="74">
        <v>330000</v>
      </c>
      <c r="G221" s="74"/>
      <c r="H221" s="309">
        <f t="shared" si="61"/>
        <v>6902135</v>
      </c>
    </row>
    <row r="222" spans="1:8" ht="15.75">
      <c r="A222" s="70"/>
      <c r="B222" s="71"/>
      <c r="C222" s="72">
        <v>4120</v>
      </c>
      <c r="D222" s="73" t="s">
        <v>100</v>
      </c>
      <c r="E222" s="74">
        <f>821000-69695+84000</f>
        <v>835305</v>
      </c>
      <c r="F222" s="74"/>
      <c r="G222" s="74"/>
      <c r="H222" s="309">
        <f t="shared" si="61"/>
        <v>835305</v>
      </c>
    </row>
    <row r="223" spans="1:8" ht="29.25" customHeight="1">
      <c r="A223" s="70"/>
      <c r="B223" s="71"/>
      <c r="C223" s="72">
        <v>4140</v>
      </c>
      <c r="D223" s="73" t="s">
        <v>121</v>
      </c>
      <c r="E223" s="74">
        <v>17000</v>
      </c>
      <c r="F223" s="74"/>
      <c r="G223" s="74"/>
      <c r="H223" s="309">
        <f t="shared" si="61"/>
        <v>17000</v>
      </c>
    </row>
    <row r="224" spans="1:8" ht="15.75">
      <c r="A224" s="70"/>
      <c r="B224" s="71"/>
      <c r="C224" s="72">
        <v>4170</v>
      </c>
      <c r="D224" s="73" t="s">
        <v>101</v>
      </c>
      <c r="E224" s="74">
        <v>26000</v>
      </c>
      <c r="F224" s="74"/>
      <c r="G224" s="74"/>
      <c r="H224" s="309">
        <f t="shared" si="61"/>
        <v>26000</v>
      </c>
    </row>
    <row r="225" spans="1:8" ht="15.75">
      <c r="A225" s="70"/>
      <c r="B225" s="71"/>
      <c r="C225" s="72">
        <v>4210</v>
      </c>
      <c r="D225" s="73" t="s">
        <v>102</v>
      </c>
      <c r="E225" s="74">
        <f>575000-12000</f>
        <v>563000</v>
      </c>
      <c r="F225" s="74"/>
      <c r="G225" s="74">
        <v>8000</v>
      </c>
      <c r="H225" s="309">
        <f t="shared" si="61"/>
        <v>555000</v>
      </c>
    </row>
    <row r="226" spans="1:8" ht="15.75">
      <c r="A226" s="70"/>
      <c r="B226" s="71"/>
      <c r="C226" s="72">
        <v>4240</v>
      </c>
      <c r="D226" s="73" t="s">
        <v>145</v>
      </c>
      <c r="E226" s="74">
        <f>172000-11000-200</f>
        <v>160800</v>
      </c>
      <c r="F226" s="74"/>
      <c r="G226" s="74"/>
      <c r="H226" s="309">
        <f t="shared" si="61"/>
        <v>160800</v>
      </c>
    </row>
    <row r="227" spans="1:8" ht="15.75">
      <c r="A227" s="70"/>
      <c r="B227" s="71"/>
      <c r="C227" s="72">
        <v>4260</v>
      </c>
      <c r="D227" s="73" t="s">
        <v>111</v>
      </c>
      <c r="E227" s="74">
        <v>2640000</v>
      </c>
      <c r="F227" s="74"/>
      <c r="G227" s="74"/>
      <c r="H227" s="309">
        <f t="shared" si="61"/>
        <v>2640000</v>
      </c>
    </row>
    <row r="228" spans="1:8" ht="15.75">
      <c r="A228" s="70"/>
      <c r="B228" s="71"/>
      <c r="C228" s="72">
        <v>4270</v>
      </c>
      <c r="D228" s="73" t="s">
        <v>110</v>
      </c>
      <c r="E228" s="74">
        <v>117000</v>
      </c>
      <c r="F228" s="74"/>
      <c r="G228" s="74"/>
      <c r="H228" s="309">
        <f t="shared" si="61"/>
        <v>117000</v>
      </c>
    </row>
    <row r="229" spans="1:8" ht="15.75">
      <c r="A229" s="70"/>
      <c r="B229" s="71"/>
      <c r="C229" s="72">
        <v>4280</v>
      </c>
      <c r="D229" s="73" t="s">
        <v>123</v>
      </c>
      <c r="E229" s="74">
        <v>65000</v>
      </c>
      <c r="F229" s="74"/>
      <c r="G229" s="74"/>
      <c r="H229" s="309">
        <f t="shared" si="61"/>
        <v>65000</v>
      </c>
    </row>
    <row r="230" spans="1:8" ht="15.75">
      <c r="A230" s="70"/>
      <c r="B230" s="71"/>
      <c r="C230" s="72">
        <v>4300</v>
      </c>
      <c r="D230" s="73" t="s">
        <v>93</v>
      </c>
      <c r="E230" s="74">
        <f>1435000+5524.32-3000</f>
        <v>1437524.32</v>
      </c>
      <c r="F230" s="74">
        <v>35443</v>
      </c>
      <c r="G230" s="74"/>
      <c r="H230" s="309">
        <f t="shared" si="61"/>
        <v>1472967.32</v>
      </c>
    </row>
    <row r="231" spans="1:8" ht="15.75">
      <c r="A231" s="70"/>
      <c r="B231" s="71"/>
      <c r="C231" s="72">
        <v>4360</v>
      </c>
      <c r="D231" s="73" t="s">
        <v>124</v>
      </c>
      <c r="E231" s="74">
        <v>61000</v>
      </c>
      <c r="F231" s="74"/>
      <c r="G231" s="74"/>
      <c r="H231" s="309">
        <f t="shared" si="61"/>
        <v>61000</v>
      </c>
    </row>
    <row r="232" spans="1:8" ht="15.75">
      <c r="A232" s="70"/>
      <c r="B232" s="71"/>
      <c r="C232" s="72">
        <v>4410</v>
      </c>
      <c r="D232" s="73" t="s">
        <v>125</v>
      </c>
      <c r="E232" s="74">
        <v>23500</v>
      </c>
      <c r="F232" s="74"/>
      <c r="G232" s="74"/>
      <c r="H232" s="309">
        <f t="shared" si="61"/>
        <v>23500</v>
      </c>
    </row>
    <row r="233" spans="1:8" ht="15.75">
      <c r="A233" s="70"/>
      <c r="B233" s="71"/>
      <c r="C233" s="72">
        <v>4420</v>
      </c>
      <c r="D233" s="73" t="s">
        <v>126</v>
      </c>
      <c r="E233" s="74">
        <f>4000+3000</f>
        <v>7000</v>
      </c>
      <c r="F233" s="74"/>
      <c r="G233" s="74"/>
      <c r="H233" s="309">
        <f t="shared" si="61"/>
        <v>7000</v>
      </c>
    </row>
    <row r="234" spans="1:8" ht="15.75">
      <c r="A234" s="70"/>
      <c r="B234" s="71"/>
      <c r="C234" s="72">
        <v>4430</v>
      </c>
      <c r="D234" s="73" t="s">
        <v>95</v>
      </c>
      <c r="E234" s="74">
        <v>119000</v>
      </c>
      <c r="F234" s="74">
        <v>8000</v>
      </c>
      <c r="G234" s="74"/>
      <c r="H234" s="309">
        <f t="shared" si="61"/>
        <v>127000</v>
      </c>
    </row>
    <row r="235" spans="1:8" ht="15.75">
      <c r="A235" s="70"/>
      <c r="B235" s="71"/>
      <c r="C235" s="72">
        <v>4440</v>
      </c>
      <c r="D235" s="73" t="s">
        <v>127</v>
      </c>
      <c r="E235" s="74">
        <v>1835874</v>
      </c>
      <c r="F235" s="74">
        <v>377439</v>
      </c>
      <c r="G235" s="74"/>
      <c r="H235" s="309">
        <f t="shared" si="61"/>
        <v>2213313</v>
      </c>
    </row>
    <row r="236" spans="1:8" ht="15.75">
      <c r="A236" s="70"/>
      <c r="B236" s="71"/>
      <c r="C236" s="72">
        <v>4580</v>
      </c>
      <c r="D236" s="73" t="s">
        <v>362</v>
      </c>
      <c r="E236" s="74">
        <v>200</v>
      </c>
      <c r="F236" s="74"/>
      <c r="G236" s="74"/>
      <c r="H236" s="309">
        <f t="shared" si="61"/>
        <v>200</v>
      </c>
    </row>
    <row r="237" spans="1:8" ht="31.5">
      <c r="A237" s="70"/>
      <c r="B237" s="71"/>
      <c r="C237" s="72">
        <v>4700</v>
      </c>
      <c r="D237" s="73" t="s">
        <v>128</v>
      </c>
      <c r="E237" s="74">
        <v>29000</v>
      </c>
      <c r="F237" s="74"/>
      <c r="G237" s="74"/>
      <c r="H237" s="309">
        <f t="shared" si="61"/>
        <v>29000</v>
      </c>
    </row>
    <row r="238" spans="1:8" ht="15.75">
      <c r="A238" s="70"/>
      <c r="B238" s="71"/>
      <c r="C238" s="72">
        <v>4710</v>
      </c>
      <c r="D238" s="73" t="s">
        <v>103</v>
      </c>
      <c r="E238" s="74">
        <f>143000-2740+20028-3600</f>
        <v>156688</v>
      </c>
      <c r="F238" s="74"/>
      <c r="G238" s="74">
        <v>4800</v>
      </c>
      <c r="H238" s="309">
        <f t="shared" si="61"/>
        <v>151888</v>
      </c>
    </row>
    <row r="239" spans="1:8" ht="15.75">
      <c r="A239" s="70"/>
      <c r="B239" s="71"/>
      <c r="C239" s="72">
        <v>4790</v>
      </c>
      <c r="D239" s="73" t="s">
        <v>146</v>
      </c>
      <c r="E239" s="74">
        <f>29085000-2716014+3240000</f>
        <v>29608986</v>
      </c>
      <c r="F239" s="74">
        <v>5364000</v>
      </c>
      <c r="G239" s="74"/>
      <c r="H239" s="309">
        <f t="shared" si="61"/>
        <v>34972986</v>
      </c>
    </row>
    <row r="240" spans="1:8" ht="15.75">
      <c r="A240" s="70"/>
      <c r="B240" s="71"/>
      <c r="C240" s="72">
        <v>4800</v>
      </c>
      <c r="D240" s="73" t="s">
        <v>147</v>
      </c>
      <c r="E240" s="74">
        <f>2115000+53800</f>
        <v>2168800</v>
      </c>
      <c r="F240" s="74"/>
      <c r="G240" s="74"/>
      <c r="H240" s="309">
        <f t="shared" si="61"/>
        <v>2168800</v>
      </c>
    </row>
    <row r="241" spans="1:8" ht="15.75">
      <c r="A241" s="70"/>
      <c r="B241" s="71"/>
      <c r="C241" s="72">
        <v>6050</v>
      </c>
      <c r="D241" s="73" t="s">
        <v>98</v>
      </c>
      <c r="E241" s="74">
        <f>5949000+80000+550000-800000</f>
        <v>5779000</v>
      </c>
      <c r="F241" s="74">
        <v>200000</v>
      </c>
      <c r="G241" s="74">
        <v>429000</v>
      </c>
      <c r="H241" s="309">
        <f t="shared" si="61"/>
        <v>5550000</v>
      </c>
    </row>
    <row r="242" spans="1:8" ht="15.75">
      <c r="A242" s="70"/>
      <c r="B242" s="71"/>
      <c r="C242" s="72">
        <v>6060</v>
      </c>
      <c r="D242" s="73" t="s">
        <v>112</v>
      </c>
      <c r="E242" s="74">
        <f>60000+50000+12000</f>
        <v>122000</v>
      </c>
      <c r="F242" s="74"/>
      <c r="G242" s="74"/>
      <c r="H242" s="309">
        <f t="shared" si="61"/>
        <v>122000</v>
      </c>
    </row>
    <row r="243" spans="1:8" ht="32.25" customHeight="1">
      <c r="A243" s="70"/>
      <c r="B243" s="71"/>
      <c r="C243" s="72">
        <v>6370</v>
      </c>
      <c r="D243" s="73" t="s">
        <v>218</v>
      </c>
      <c r="E243" s="74">
        <v>3000000</v>
      </c>
      <c r="F243" s="74"/>
      <c r="G243" s="74"/>
      <c r="H243" s="309">
        <f t="shared" si="61"/>
        <v>3000000</v>
      </c>
    </row>
    <row r="244" spans="1:8" ht="32.25" customHeight="1">
      <c r="A244" s="70"/>
      <c r="B244" s="71"/>
      <c r="C244" s="72">
        <v>6580</v>
      </c>
      <c r="D244" s="73" t="s">
        <v>325</v>
      </c>
      <c r="E244" s="74">
        <v>800000</v>
      </c>
      <c r="F244" s="74"/>
      <c r="G244" s="74"/>
      <c r="H244" s="309">
        <f t="shared" si="61"/>
        <v>800000</v>
      </c>
    </row>
    <row r="245" spans="1:8" ht="15.75">
      <c r="A245" s="70"/>
      <c r="B245" s="71">
        <v>80103</v>
      </c>
      <c r="C245" s="72"/>
      <c r="D245" s="73" t="s">
        <v>60</v>
      </c>
      <c r="E245" s="74">
        <f>SUM(E246:E256)</f>
        <v>3771518</v>
      </c>
      <c r="F245" s="74">
        <f t="shared" ref="F245:H245" si="62">SUM(F246:F256)</f>
        <v>50793</v>
      </c>
      <c r="G245" s="74">
        <f t="shared" si="62"/>
        <v>0</v>
      </c>
      <c r="H245" s="74">
        <f t="shared" si="62"/>
        <v>3822311</v>
      </c>
    </row>
    <row r="246" spans="1:8" ht="47.25">
      <c r="A246" s="70"/>
      <c r="B246" s="71"/>
      <c r="C246" s="72">
        <v>2310</v>
      </c>
      <c r="D246" s="73" t="s">
        <v>107</v>
      </c>
      <c r="E246" s="74">
        <v>40000</v>
      </c>
      <c r="F246" s="74"/>
      <c r="G246" s="74"/>
      <c r="H246" s="309">
        <f>E246+F246-G246</f>
        <v>40000</v>
      </c>
    </row>
    <row r="247" spans="1:8" ht="29.25" customHeight="1">
      <c r="A247" s="70"/>
      <c r="B247" s="71"/>
      <c r="C247" s="72">
        <v>2540</v>
      </c>
      <c r="D247" s="73" t="s">
        <v>142</v>
      </c>
      <c r="E247" s="74">
        <v>340000</v>
      </c>
      <c r="F247" s="74"/>
      <c r="G247" s="74"/>
      <c r="H247" s="309">
        <f t="shared" ref="H247:H256" si="63">E247+F247-G247</f>
        <v>340000</v>
      </c>
    </row>
    <row r="248" spans="1:8" ht="15.75">
      <c r="A248" s="70"/>
      <c r="B248" s="71"/>
      <c r="C248" s="72">
        <v>3020</v>
      </c>
      <c r="D248" s="73" t="s">
        <v>119</v>
      </c>
      <c r="E248" s="74">
        <v>174922</v>
      </c>
      <c r="F248" s="74"/>
      <c r="G248" s="74"/>
      <c r="H248" s="309">
        <f t="shared" si="63"/>
        <v>174922</v>
      </c>
    </row>
    <row r="249" spans="1:8" ht="15.75">
      <c r="A249" s="70"/>
      <c r="B249" s="71"/>
      <c r="C249" s="72">
        <v>4110</v>
      </c>
      <c r="D249" s="73" t="s">
        <v>99</v>
      </c>
      <c r="E249" s="74">
        <v>477343</v>
      </c>
      <c r="F249" s="74"/>
      <c r="G249" s="74"/>
      <c r="H249" s="309">
        <f t="shared" si="63"/>
        <v>477343</v>
      </c>
    </row>
    <row r="250" spans="1:8" ht="15.75">
      <c r="A250" s="70"/>
      <c r="B250" s="71"/>
      <c r="C250" s="72">
        <v>4120</v>
      </c>
      <c r="D250" s="73" t="s">
        <v>100</v>
      </c>
      <c r="E250" s="74">
        <v>63867</v>
      </c>
      <c r="F250" s="74"/>
      <c r="G250" s="74"/>
      <c r="H250" s="309">
        <f t="shared" si="63"/>
        <v>63867</v>
      </c>
    </row>
    <row r="251" spans="1:8" ht="15.75">
      <c r="A251" s="70"/>
      <c r="B251" s="71"/>
      <c r="C251" s="72">
        <v>4240</v>
      </c>
      <c r="D251" s="73" t="s">
        <v>145</v>
      </c>
      <c r="E251" s="74">
        <v>28000</v>
      </c>
      <c r="F251" s="74">
        <v>3000</v>
      </c>
      <c r="G251" s="74"/>
      <c r="H251" s="309">
        <f t="shared" si="63"/>
        <v>31000</v>
      </c>
    </row>
    <row r="252" spans="1:8" ht="31.5">
      <c r="A252" s="70"/>
      <c r="B252" s="71"/>
      <c r="C252" s="72">
        <v>4330</v>
      </c>
      <c r="D252" s="73" t="s">
        <v>148</v>
      </c>
      <c r="E252" s="74">
        <v>10000</v>
      </c>
      <c r="F252" s="74"/>
      <c r="G252" s="74"/>
      <c r="H252" s="309">
        <f t="shared" si="63"/>
        <v>10000</v>
      </c>
    </row>
    <row r="253" spans="1:8" ht="15.75">
      <c r="A253" s="70"/>
      <c r="B253" s="71"/>
      <c r="C253" s="72">
        <v>4440</v>
      </c>
      <c r="D253" s="73" t="s">
        <v>127</v>
      </c>
      <c r="E253" s="74">
        <v>143366</v>
      </c>
      <c r="F253" s="74">
        <v>45693</v>
      </c>
      <c r="G253" s="74"/>
      <c r="H253" s="309">
        <f t="shared" si="63"/>
        <v>189059</v>
      </c>
    </row>
    <row r="254" spans="1:8" ht="15.75">
      <c r="A254" s="70"/>
      <c r="B254" s="71"/>
      <c r="C254" s="72">
        <v>4710</v>
      </c>
      <c r="D254" s="73" t="s">
        <v>103</v>
      </c>
      <c r="E254" s="74">
        <v>11700</v>
      </c>
      <c r="F254" s="74">
        <v>2100</v>
      </c>
      <c r="G254" s="74"/>
      <c r="H254" s="309">
        <f t="shared" si="63"/>
        <v>13800</v>
      </c>
    </row>
    <row r="255" spans="1:8" ht="15.75">
      <c r="A255" s="70"/>
      <c r="B255" s="71"/>
      <c r="C255" s="72">
        <v>4790</v>
      </c>
      <c r="D255" s="73" t="s">
        <v>146</v>
      </c>
      <c r="E255" s="74">
        <v>2344320</v>
      </c>
      <c r="F255" s="74"/>
      <c r="G255" s="74"/>
      <c r="H255" s="309">
        <f t="shared" si="63"/>
        <v>2344320</v>
      </c>
    </row>
    <row r="256" spans="1:8" ht="15.75">
      <c r="A256" s="70"/>
      <c r="B256" s="71"/>
      <c r="C256" s="72">
        <v>4800</v>
      </c>
      <c r="D256" s="73" t="s">
        <v>147</v>
      </c>
      <c r="E256" s="74">
        <f>182800-44800</f>
        <v>138000</v>
      </c>
      <c r="F256" s="74"/>
      <c r="G256" s="74"/>
      <c r="H256" s="309">
        <f t="shared" si="63"/>
        <v>138000</v>
      </c>
    </row>
    <row r="257" spans="1:8" ht="15.75">
      <c r="A257" s="9"/>
      <c r="B257" s="10">
        <v>80104</v>
      </c>
      <c r="C257" s="11"/>
      <c r="D257" s="12" t="s">
        <v>62</v>
      </c>
      <c r="E257" s="13">
        <f>SUM(E258:E286)</f>
        <v>40937733</v>
      </c>
      <c r="F257" s="13">
        <f t="shared" ref="F257:H257" si="64">SUM(F258:F286)</f>
        <v>7002687</v>
      </c>
      <c r="G257" s="13">
        <f t="shared" si="64"/>
        <v>595</v>
      </c>
      <c r="H257" s="13">
        <f t="shared" si="64"/>
        <v>47939825</v>
      </c>
    </row>
    <row r="258" spans="1:8" ht="47.25">
      <c r="A258" s="9"/>
      <c r="B258" s="10"/>
      <c r="C258" s="11">
        <v>2310</v>
      </c>
      <c r="D258" s="12" t="s">
        <v>107</v>
      </c>
      <c r="E258" s="13">
        <f>2500000+500000+250000</f>
        <v>3250000</v>
      </c>
      <c r="F258" s="13">
        <v>700000</v>
      </c>
      <c r="G258" s="13"/>
      <c r="H258" s="310">
        <f>E258+F258-G258</f>
        <v>3950000</v>
      </c>
    </row>
    <row r="259" spans="1:8" ht="29.25" customHeight="1">
      <c r="A259" s="9"/>
      <c r="B259" s="10"/>
      <c r="C259" s="11">
        <v>2540</v>
      </c>
      <c r="D259" s="12" t="s">
        <v>142</v>
      </c>
      <c r="E259" s="13">
        <v>3000000</v>
      </c>
      <c r="F259" s="13">
        <v>500000</v>
      </c>
      <c r="G259" s="13"/>
      <c r="H259" s="310">
        <f t="shared" ref="H259:H286" si="65">E259+F259-G259</f>
        <v>3500000</v>
      </c>
    </row>
    <row r="260" spans="1:8" ht="47.25">
      <c r="A260" s="9"/>
      <c r="B260" s="10"/>
      <c r="C260" s="11">
        <v>2590</v>
      </c>
      <c r="D260" s="12" t="s">
        <v>149</v>
      </c>
      <c r="E260" s="13">
        <f>23000000-5494585-36155-300000-7182+6815-103376-3000000+200000+1694130-25000+6467500+2489+3697+150000</f>
        <v>22558333</v>
      </c>
      <c r="F260" s="13">
        <v>4200000</v>
      </c>
      <c r="G260" s="13"/>
      <c r="H260" s="310">
        <f t="shared" si="65"/>
        <v>26758333</v>
      </c>
    </row>
    <row r="261" spans="1:8" ht="15.75">
      <c r="A261" s="9"/>
      <c r="B261" s="10"/>
      <c r="C261" s="11">
        <v>3020</v>
      </c>
      <c r="D261" s="12" t="s">
        <v>119</v>
      </c>
      <c r="E261" s="13">
        <v>221000</v>
      </c>
      <c r="F261" s="13">
        <v>49000</v>
      </c>
      <c r="G261" s="13"/>
      <c r="H261" s="310">
        <f t="shared" si="65"/>
        <v>270000</v>
      </c>
    </row>
    <row r="262" spans="1:8" ht="15.75">
      <c r="A262" s="9"/>
      <c r="B262" s="10"/>
      <c r="C262" s="11">
        <v>4010</v>
      </c>
      <c r="D262" s="12" t="s">
        <v>116</v>
      </c>
      <c r="E262" s="13">
        <f>2775000-250000</f>
        <v>2525000</v>
      </c>
      <c r="F262" s="13">
        <v>210000</v>
      </c>
      <c r="G262" s="13"/>
      <c r="H262" s="310">
        <f t="shared" si="65"/>
        <v>2735000</v>
      </c>
    </row>
    <row r="263" spans="1:8" ht="15.75">
      <c r="A263" s="9"/>
      <c r="B263" s="10"/>
      <c r="C263" s="11">
        <v>4040</v>
      </c>
      <c r="D263" s="12" t="s">
        <v>120</v>
      </c>
      <c r="E263" s="13">
        <v>184000</v>
      </c>
      <c r="F263" s="13"/>
      <c r="G263" s="13"/>
      <c r="H263" s="310">
        <f t="shared" si="65"/>
        <v>184000</v>
      </c>
    </row>
    <row r="264" spans="1:8" ht="15.75">
      <c r="A264" s="9"/>
      <c r="B264" s="10"/>
      <c r="C264" s="11">
        <v>4110</v>
      </c>
      <c r="D264" s="12" t="s">
        <v>99</v>
      </c>
      <c r="E264" s="13">
        <v>1070000</v>
      </c>
      <c r="F264" s="13">
        <v>101000</v>
      </c>
      <c r="G264" s="13"/>
      <c r="H264" s="310">
        <f t="shared" si="65"/>
        <v>1171000</v>
      </c>
    </row>
    <row r="265" spans="1:8" ht="15.75">
      <c r="A265" s="9"/>
      <c r="B265" s="10"/>
      <c r="C265" s="11">
        <v>4120</v>
      </c>
      <c r="D265" s="12" t="s">
        <v>100</v>
      </c>
      <c r="E265" s="13">
        <v>143000</v>
      </c>
      <c r="F265" s="13"/>
      <c r="G265" s="13"/>
      <c r="H265" s="310">
        <f t="shared" si="65"/>
        <v>143000</v>
      </c>
    </row>
    <row r="266" spans="1:8" ht="27.75" customHeight="1">
      <c r="A266" s="9"/>
      <c r="B266" s="10"/>
      <c r="C266" s="11">
        <v>4140</v>
      </c>
      <c r="D266" s="12" t="s">
        <v>121</v>
      </c>
      <c r="E266" s="13">
        <v>2000</v>
      </c>
      <c r="F266" s="13"/>
      <c r="G266" s="13"/>
      <c r="H266" s="310">
        <f t="shared" si="65"/>
        <v>2000</v>
      </c>
    </row>
    <row r="267" spans="1:8" ht="15.75">
      <c r="A267" s="9"/>
      <c r="B267" s="10"/>
      <c r="C267" s="11">
        <v>4170</v>
      </c>
      <c r="D267" s="12" t="s">
        <v>101</v>
      </c>
      <c r="E267" s="13">
        <v>4000</v>
      </c>
      <c r="F267" s="13"/>
      <c r="G267" s="13"/>
      <c r="H267" s="310">
        <f t="shared" si="65"/>
        <v>4000</v>
      </c>
    </row>
    <row r="268" spans="1:8" ht="15.75">
      <c r="A268" s="9"/>
      <c r="B268" s="10"/>
      <c r="C268" s="11">
        <v>4210</v>
      </c>
      <c r="D268" s="12" t="s">
        <v>102</v>
      </c>
      <c r="E268" s="13">
        <v>270000</v>
      </c>
      <c r="F268" s="13"/>
      <c r="G268" s="13"/>
      <c r="H268" s="310">
        <f t="shared" si="65"/>
        <v>270000</v>
      </c>
    </row>
    <row r="269" spans="1:8" ht="15.75">
      <c r="A269" s="9"/>
      <c r="B269" s="10"/>
      <c r="C269" s="11">
        <v>4220</v>
      </c>
      <c r="D269" s="12" t="s">
        <v>122</v>
      </c>
      <c r="E269" s="13">
        <f>360600+308700+378000+240000</f>
        <v>1287300</v>
      </c>
      <c r="F269" s="13"/>
      <c r="G269" s="13"/>
      <c r="H269" s="310">
        <f t="shared" si="65"/>
        <v>1287300</v>
      </c>
    </row>
    <row r="270" spans="1:8" ht="15.75">
      <c r="A270" s="9"/>
      <c r="B270" s="10"/>
      <c r="C270" s="11">
        <v>4240</v>
      </c>
      <c r="D270" s="12" t="s">
        <v>145</v>
      </c>
      <c r="E270" s="13">
        <v>26000</v>
      </c>
      <c r="F270" s="13"/>
      <c r="G270" s="13"/>
      <c r="H270" s="310">
        <f t="shared" si="65"/>
        <v>26000</v>
      </c>
    </row>
    <row r="271" spans="1:8" ht="15.75">
      <c r="A271" s="9"/>
      <c r="B271" s="10"/>
      <c r="C271" s="11">
        <v>4260</v>
      </c>
      <c r="D271" s="12" t="s">
        <v>111</v>
      </c>
      <c r="E271" s="13">
        <v>345000</v>
      </c>
      <c r="F271" s="13"/>
      <c r="G271" s="13"/>
      <c r="H271" s="310">
        <f t="shared" si="65"/>
        <v>345000</v>
      </c>
    </row>
    <row r="272" spans="1:8" ht="15.75">
      <c r="A272" s="9"/>
      <c r="B272" s="10"/>
      <c r="C272" s="11">
        <v>4270</v>
      </c>
      <c r="D272" s="12" t="s">
        <v>110</v>
      </c>
      <c r="E272" s="13">
        <v>19000</v>
      </c>
      <c r="F272" s="13"/>
      <c r="G272" s="13"/>
      <c r="H272" s="310">
        <f t="shared" si="65"/>
        <v>19000</v>
      </c>
    </row>
    <row r="273" spans="1:8" ht="15.75">
      <c r="A273" s="9"/>
      <c r="B273" s="10"/>
      <c r="C273" s="11">
        <v>4280</v>
      </c>
      <c r="D273" s="12" t="s">
        <v>123</v>
      </c>
      <c r="E273" s="13">
        <v>12000</v>
      </c>
      <c r="F273" s="13"/>
      <c r="G273" s="13"/>
      <c r="H273" s="310">
        <f t="shared" si="65"/>
        <v>12000</v>
      </c>
    </row>
    <row r="274" spans="1:8" ht="15.75">
      <c r="A274" s="9"/>
      <c r="B274" s="10"/>
      <c r="C274" s="11">
        <v>4300</v>
      </c>
      <c r="D274" s="12" t="s">
        <v>93</v>
      </c>
      <c r="E274" s="13">
        <f>510000+60000</f>
        <v>570000</v>
      </c>
      <c r="F274" s="13"/>
      <c r="G274" s="13">
        <v>100</v>
      </c>
      <c r="H274" s="310">
        <f t="shared" si="65"/>
        <v>569900</v>
      </c>
    </row>
    <row r="275" spans="1:8" ht="31.5">
      <c r="A275" s="9"/>
      <c r="B275" s="10"/>
      <c r="C275" s="11">
        <v>4330</v>
      </c>
      <c r="D275" s="12" t="s">
        <v>148</v>
      </c>
      <c r="E275" s="13">
        <f>1000000+500000+250000</f>
        <v>1750000</v>
      </c>
      <c r="F275" s="13">
        <v>300000</v>
      </c>
      <c r="G275" s="13"/>
      <c r="H275" s="310">
        <f t="shared" si="65"/>
        <v>2050000</v>
      </c>
    </row>
    <row r="276" spans="1:8" ht="15.75">
      <c r="A276" s="9"/>
      <c r="B276" s="10"/>
      <c r="C276" s="11">
        <v>4360</v>
      </c>
      <c r="D276" s="12" t="s">
        <v>124</v>
      </c>
      <c r="E276" s="13">
        <v>16600</v>
      </c>
      <c r="F276" s="13"/>
      <c r="G276" s="13"/>
      <c r="H276" s="310">
        <f t="shared" si="65"/>
        <v>16600</v>
      </c>
    </row>
    <row r="277" spans="1:8" ht="15.75">
      <c r="A277" s="9"/>
      <c r="B277" s="10"/>
      <c r="C277" s="11">
        <v>4410</v>
      </c>
      <c r="D277" s="12" t="s">
        <v>125</v>
      </c>
      <c r="E277" s="13">
        <v>11500</v>
      </c>
      <c r="F277" s="13"/>
      <c r="G277" s="13"/>
      <c r="H277" s="310">
        <f t="shared" si="65"/>
        <v>11500</v>
      </c>
    </row>
    <row r="278" spans="1:8" ht="15.75">
      <c r="A278" s="9"/>
      <c r="B278" s="10"/>
      <c r="C278" s="11">
        <v>4430</v>
      </c>
      <c r="D278" s="12" t="s">
        <v>95</v>
      </c>
      <c r="E278" s="13">
        <v>16000</v>
      </c>
      <c r="F278" s="13"/>
      <c r="G278" s="13">
        <v>495</v>
      </c>
      <c r="H278" s="310">
        <f t="shared" si="65"/>
        <v>15505</v>
      </c>
    </row>
    <row r="279" spans="1:8" ht="15.75">
      <c r="A279" s="9"/>
      <c r="B279" s="10"/>
      <c r="C279" s="11">
        <v>4440</v>
      </c>
      <c r="D279" s="12" t="s">
        <v>127</v>
      </c>
      <c r="E279" s="13">
        <v>270000</v>
      </c>
      <c r="F279" s="13">
        <v>102092</v>
      </c>
      <c r="G279" s="13"/>
      <c r="H279" s="310">
        <f t="shared" si="65"/>
        <v>372092</v>
      </c>
    </row>
    <row r="280" spans="1:8" ht="15.75">
      <c r="A280" s="9"/>
      <c r="B280" s="10"/>
      <c r="C280" s="72">
        <v>4510</v>
      </c>
      <c r="D280" s="73" t="s">
        <v>450</v>
      </c>
      <c r="E280" s="74"/>
      <c r="F280" s="74">
        <v>495</v>
      </c>
      <c r="G280" s="65"/>
      <c r="H280" s="310">
        <f t="shared" si="65"/>
        <v>495</v>
      </c>
    </row>
    <row r="281" spans="1:8" ht="15.75">
      <c r="A281" s="9"/>
      <c r="B281" s="10"/>
      <c r="C281" s="72">
        <v>4580</v>
      </c>
      <c r="D281" s="73" t="s">
        <v>362</v>
      </c>
      <c r="E281" s="74"/>
      <c r="F281" s="74">
        <v>100</v>
      </c>
      <c r="G281" s="65"/>
      <c r="H281" s="310">
        <f t="shared" si="65"/>
        <v>100</v>
      </c>
    </row>
    <row r="282" spans="1:8" ht="31.5">
      <c r="A282" s="9"/>
      <c r="B282" s="10"/>
      <c r="C282" s="11">
        <v>4700</v>
      </c>
      <c r="D282" s="12" t="s">
        <v>128</v>
      </c>
      <c r="E282" s="13">
        <v>14000</v>
      </c>
      <c r="F282" s="13"/>
      <c r="G282" s="13"/>
      <c r="H282" s="310">
        <f t="shared" si="65"/>
        <v>14000</v>
      </c>
    </row>
    <row r="283" spans="1:8" ht="15.75">
      <c r="A283" s="9"/>
      <c r="B283" s="10"/>
      <c r="C283" s="11">
        <v>4710</v>
      </c>
      <c r="D283" s="12" t="s">
        <v>103</v>
      </c>
      <c r="E283" s="13">
        <v>14000</v>
      </c>
      <c r="F283" s="13"/>
      <c r="G283" s="13"/>
      <c r="H283" s="310">
        <f t="shared" si="65"/>
        <v>14000</v>
      </c>
    </row>
    <row r="284" spans="1:8" ht="15.75">
      <c r="A284" s="9"/>
      <c r="B284" s="10"/>
      <c r="C284" s="11">
        <v>4790</v>
      </c>
      <c r="D284" s="12" t="s">
        <v>146</v>
      </c>
      <c r="E284" s="13">
        <f>3365000-250000</f>
        <v>3115000</v>
      </c>
      <c r="F284" s="13">
        <v>480000</v>
      </c>
      <c r="G284" s="13"/>
      <c r="H284" s="310">
        <f t="shared" si="65"/>
        <v>3595000</v>
      </c>
    </row>
    <row r="285" spans="1:8" ht="15.75">
      <c r="A285" s="9"/>
      <c r="B285" s="10"/>
      <c r="C285" s="11">
        <v>4800</v>
      </c>
      <c r="D285" s="12" t="s">
        <v>147</v>
      </c>
      <c r="E285" s="13">
        <v>244000</v>
      </c>
      <c r="F285" s="13"/>
      <c r="G285" s="13"/>
      <c r="H285" s="310">
        <f t="shared" si="65"/>
        <v>244000</v>
      </c>
    </row>
    <row r="286" spans="1:8" ht="15.75">
      <c r="A286" s="9"/>
      <c r="B286" s="10"/>
      <c r="C286" s="72">
        <v>6050</v>
      </c>
      <c r="D286" s="73" t="s">
        <v>98</v>
      </c>
      <c r="E286" s="13"/>
      <c r="F286" s="13">
        <v>360000</v>
      </c>
      <c r="G286" s="13"/>
      <c r="H286" s="310">
        <f t="shared" si="65"/>
        <v>360000</v>
      </c>
    </row>
    <row r="287" spans="1:8" ht="15.75">
      <c r="A287" s="9"/>
      <c r="B287" s="10">
        <v>80106</v>
      </c>
      <c r="C287" s="11"/>
      <c r="D287" s="12" t="s">
        <v>66</v>
      </c>
      <c r="E287" s="13">
        <f>SUM(E288:E289)</f>
        <v>185000</v>
      </c>
      <c r="F287" s="13">
        <f t="shared" ref="F287:H287" si="66">SUM(F288:F289)</f>
        <v>50000</v>
      </c>
      <c r="G287" s="13">
        <f t="shared" si="66"/>
        <v>0</v>
      </c>
      <c r="H287" s="310">
        <f t="shared" si="66"/>
        <v>235000</v>
      </c>
    </row>
    <row r="288" spans="1:8" ht="35.25" customHeight="1">
      <c r="A288" s="9"/>
      <c r="B288" s="10"/>
      <c r="C288" s="11">
        <v>2540</v>
      </c>
      <c r="D288" s="12" t="s">
        <v>142</v>
      </c>
      <c r="E288" s="13">
        <v>175000</v>
      </c>
      <c r="F288" s="13">
        <v>50000</v>
      </c>
      <c r="G288" s="13"/>
      <c r="H288" s="310">
        <f>E288+F288-G288</f>
        <v>225000</v>
      </c>
    </row>
    <row r="289" spans="1:8" ht="32.25" customHeight="1">
      <c r="A289" s="9"/>
      <c r="B289" s="10"/>
      <c r="C289" s="11">
        <v>4330</v>
      </c>
      <c r="D289" s="12" t="s">
        <v>148</v>
      </c>
      <c r="E289" s="13">
        <v>10000</v>
      </c>
      <c r="F289" s="13"/>
      <c r="G289" s="13"/>
      <c r="H289" s="310">
        <f>E289+F289-G289</f>
        <v>10000</v>
      </c>
    </row>
    <row r="290" spans="1:8" ht="15.75">
      <c r="A290" s="70"/>
      <c r="B290" s="71">
        <v>80107</v>
      </c>
      <c r="C290" s="72"/>
      <c r="D290" s="73" t="s">
        <v>150</v>
      </c>
      <c r="E290" s="74">
        <f>SUM(E291:E298)</f>
        <v>4404098</v>
      </c>
      <c r="F290" s="74">
        <f t="shared" ref="F290:H290" si="67">SUM(F291:F298)</f>
        <v>71372</v>
      </c>
      <c r="G290" s="74">
        <f t="shared" si="67"/>
        <v>0</v>
      </c>
      <c r="H290" s="309">
        <f t="shared" si="67"/>
        <v>4475470</v>
      </c>
    </row>
    <row r="291" spans="1:8" ht="15.75">
      <c r="A291" s="70"/>
      <c r="B291" s="71"/>
      <c r="C291" s="72">
        <v>3020</v>
      </c>
      <c r="D291" s="73" t="s">
        <v>119</v>
      </c>
      <c r="E291" s="74">
        <v>233700</v>
      </c>
      <c r="F291" s="74"/>
      <c r="G291" s="74"/>
      <c r="H291" s="309">
        <f>E291+F291-G291</f>
        <v>233700</v>
      </c>
    </row>
    <row r="292" spans="1:8" ht="15.75">
      <c r="A292" s="70"/>
      <c r="B292" s="71"/>
      <c r="C292" s="72">
        <v>4110</v>
      </c>
      <c r="D292" s="73" t="s">
        <v>99</v>
      </c>
      <c r="E292" s="74">
        <v>568700</v>
      </c>
      <c r="F292" s="74"/>
      <c r="G292" s="74"/>
      <c r="H292" s="309">
        <f t="shared" ref="H292:H297" si="68">E292+F292-G292</f>
        <v>568700</v>
      </c>
    </row>
    <row r="293" spans="1:8" ht="15.75">
      <c r="A293" s="70"/>
      <c r="B293" s="71"/>
      <c r="C293" s="72">
        <v>4120</v>
      </c>
      <c r="D293" s="73" t="s">
        <v>100</v>
      </c>
      <c r="E293" s="74">
        <v>83400</v>
      </c>
      <c r="F293" s="74"/>
      <c r="G293" s="74"/>
      <c r="H293" s="309">
        <f t="shared" si="68"/>
        <v>83400</v>
      </c>
    </row>
    <row r="294" spans="1:8" ht="15.75">
      <c r="A294" s="70"/>
      <c r="B294" s="71"/>
      <c r="C294" s="72">
        <v>4240</v>
      </c>
      <c r="D294" s="73" t="s">
        <v>145</v>
      </c>
      <c r="E294" s="74">
        <v>39000</v>
      </c>
      <c r="F294" s="74"/>
      <c r="G294" s="74"/>
      <c r="H294" s="309">
        <f t="shared" si="68"/>
        <v>39000</v>
      </c>
    </row>
    <row r="295" spans="1:8" ht="15.75">
      <c r="A295" s="70"/>
      <c r="B295" s="71"/>
      <c r="C295" s="72">
        <v>4440</v>
      </c>
      <c r="D295" s="73" t="s">
        <v>127</v>
      </c>
      <c r="E295" s="74">
        <v>217298</v>
      </c>
      <c r="F295" s="74">
        <v>70172</v>
      </c>
      <c r="G295" s="74"/>
      <c r="H295" s="309">
        <f t="shared" si="68"/>
        <v>287470</v>
      </c>
    </row>
    <row r="296" spans="1:8" ht="15.75">
      <c r="A296" s="70"/>
      <c r="B296" s="71"/>
      <c r="C296" s="72">
        <v>4710</v>
      </c>
      <c r="D296" s="73" t="s">
        <v>103</v>
      </c>
      <c r="E296" s="74">
        <v>17000</v>
      </c>
      <c r="F296" s="74">
        <v>1200</v>
      </c>
      <c r="G296" s="74"/>
      <c r="H296" s="309">
        <f t="shared" si="68"/>
        <v>18200</v>
      </c>
    </row>
    <row r="297" spans="1:8" ht="15.75">
      <c r="A297" s="70"/>
      <c r="B297" s="71"/>
      <c r="C297" s="72">
        <v>4790</v>
      </c>
      <c r="D297" s="73" t="s">
        <v>146</v>
      </c>
      <c r="E297" s="74">
        <v>3060000</v>
      </c>
      <c r="F297" s="74"/>
      <c r="G297" s="74"/>
      <c r="H297" s="309">
        <f t="shared" si="68"/>
        <v>3060000</v>
      </c>
    </row>
    <row r="298" spans="1:8" ht="15.75">
      <c r="A298" s="70"/>
      <c r="B298" s="71"/>
      <c r="C298" s="72">
        <v>4800</v>
      </c>
      <c r="D298" s="73" t="s">
        <v>147</v>
      </c>
      <c r="E298" s="74">
        <f>201000-16000</f>
        <v>185000</v>
      </c>
      <c r="F298" s="74"/>
      <c r="G298" s="74"/>
      <c r="H298" s="309">
        <f t="shared" ref="H298" si="69">E298+F298-G298</f>
        <v>185000</v>
      </c>
    </row>
    <row r="299" spans="1:8" ht="15.75">
      <c r="A299" s="70"/>
      <c r="B299" s="71">
        <v>80113</v>
      </c>
      <c r="C299" s="72"/>
      <c r="D299" s="73" t="s">
        <v>151</v>
      </c>
      <c r="E299" s="74">
        <f>E300</f>
        <v>2794600</v>
      </c>
      <c r="F299" s="74">
        <f t="shared" ref="F299:H299" si="70">F300</f>
        <v>500000</v>
      </c>
      <c r="G299" s="74">
        <f t="shared" si="70"/>
        <v>0</v>
      </c>
      <c r="H299" s="309">
        <f t="shared" si="70"/>
        <v>3294600</v>
      </c>
    </row>
    <row r="300" spans="1:8" ht="15.75">
      <c r="A300" s="70"/>
      <c r="B300" s="71"/>
      <c r="C300" s="72">
        <v>4300</v>
      </c>
      <c r="D300" s="73" t="s">
        <v>93</v>
      </c>
      <c r="E300" s="74">
        <f>2185000+600000+9600</f>
        <v>2794600</v>
      </c>
      <c r="F300" s="74">
        <v>500000</v>
      </c>
      <c r="G300" s="74"/>
      <c r="H300" s="309">
        <f>E300+F300-G300</f>
        <v>3294600</v>
      </c>
    </row>
    <row r="301" spans="1:8" ht="15.75">
      <c r="A301" s="9"/>
      <c r="B301" s="10">
        <v>80132</v>
      </c>
      <c r="C301" s="11"/>
      <c r="D301" s="12" t="s">
        <v>152</v>
      </c>
      <c r="E301" s="13">
        <f>E302</f>
        <v>91000</v>
      </c>
      <c r="F301" s="13">
        <f t="shared" ref="F301:H301" si="71">F302</f>
        <v>0</v>
      </c>
      <c r="G301" s="13">
        <f t="shared" si="71"/>
        <v>0</v>
      </c>
      <c r="H301" s="310">
        <f t="shared" si="71"/>
        <v>91000</v>
      </c>
    </row>
    <row r="302" spans="1:8" ht="47.25">
      <c r="A302" s="9"/>
      <c r="B302" s="10"/>
      <c r="C302" s="11">
        <v>2710</v>
      </c>
      <c r="D302" s="12" t="s">
        <v>106</v>
      </c>
      <c r="E302" s="13">
        <v>91000</v>
      </c>
      <c r="F302" s="13"/>
      <c r="G302" s="13"/>
      <c r="H302" s="310">
        <f>E302+F302-G302</f>
        <v>91000</v>
      </c>
    </row>
    <row r="303" spans="1:8" ht="15.75">
      <c r="A303" s="62"/>
      <c r="B303" s="71">
        <v>80146</v>
      </c>
      <c r="C303" s="72"/>
      <c r="D303" s="73" t="s">
        <v>153</v>
      </c>
      <c r="E303" s="74">
        <f>SUM(E304:E305)</f>
        <v>302835</v>
      </c>
      <c r="F303" s="74">
        <f t="shared" ref="F303:H303" si="72">SUM(F304:F305)</f>
        <v>0</v>
      </c>
      <c r="G303" s="74">
        <f t="shared" si="72"/>
        <v>0</v>
      </c>
      <c r="H303" s="309">
        <f t="shared" si="72"/>
        <v>302835</v>
      </c>
    </row>
    <row r="304" spans="1:8" ht="15.75">
      <c r="A304" s="62"/>
      <c r="B304" s="71"/>
      <c r="C304" s="72">
        <v>4300</v>
      </c>
      <c r="D304" s="73" t="s">
        <v>93</v>
      </c>
      <c r="E304" s="74">
        <f>253100+26920</f>
        <v>280020</v>
      </c>
      <c r="F304" s="74"/>
      <c r="G304" s="74"/>
      <c r="H304" s="309">
        <f>E304+F304-G304</f>
        <v>280020</v>
      </c>
    </row>
    <row r="305" spans="1:8" ht="31.5">
      <c r="A305" s="62"/>
      <c r="B305" s="71"/>
      <c r="C305" s="72">
        <v>4700</v>
      </c>
      <c r="D305" s="73" t="s">
        <v>128</v>
      </c>
      <c r="E305" s="74">
        <v>22815</v>
      </c>
      <c r="F305" s="74"/>
      <c r="G305" s="74"/>
      <c r="H305" s="309">
        <f>E305+F305-G305</f>
        <v>22815</v>
      </c>
    </row>
    <row r="306" spans="1:8" ht="63">
      <c r="A306" s="9"/>
      <c r="B306" s="10">
        <v>80149</v>
      </c>
      <c r="C306" s="11"/>
      <c r="D306" s="12" t="s">
        <v>154</v>
      </c>
      <c r="E306" s="13">
        <f>SUM(E307:E308)</f>
        <v>7100000</v>
      </c>
      <c r="F306" s="13">
        <f t="shared" ref="F306:H306" si="73">SUM(F307:F308)</f>
        <v>4100000</v>
      </c>
      <c r="G306" s="13">
        <f t="shared" si="73"/>
        <v>0</v>
      </c>
      <c r="H306" s="310">
        <f t="shared" si="73"/>
        <v>11200000</v>
      </c>
    </row>
    <row r="307" spans="1:8" ht="31.5">
      <c r="A307" s="9"/>
      <c r="B307" s="10"/>
      <c r="C307" s="11">
        <v>2540</v>
      </c>
      <c r="D307" s="12" t="s">
        <v>142</v>
      </c>
      <c r="E307" s="13">
        <f>3400000+500000</f>
        <v>3900000</v>
      </c>
      <c r="F307" s="13">
        <v>1600000</v>
      </c>
      <c r="G307" s="13"/>
      <c r="H307" s="310">
        <f>E307+F307-G307</f>
        <v>5500000</v>
      </c>
    </row>
    <row r="308" spans="1:8" ht="47.25">
      <c r="A308" s="9"/>
      <c r="B308" s="10"/>
      <c r="C308" s="11">
        <v>2590</v>
      </c>
      <c r="D308" s="12" t="s">
        <v>149</v>
      </c>
      <c r="E308" s="13">
        <f>2700000+500000</f>
        <v>3200000</v>
      </c>
      <c r="F308" s="13">
        <v>2500000</v>
      </c>
      <c r="G308" s="13"/>
      <c r="H308" s="310">
        <f>E308+F308-G308</f>
        <v>5700000</v>
      </c>
    </row>
    <row r="309" spans="1:8" ht="47.25">
      <c r="A309" s="9"/>
      <c r="B309" s="10">
        <v>80150</v>
      </c>
      <c r="C309" s="11"/>
      <c r="D309" s="12" t="s">
        <v>341</v>
      </c>
      <c r="E309" s="13">
        <f>SUM(E310:E317)</f>
        <v>3556724</v>
      </c>
      <c r="F309" s="13">
        <f t="shared" ref="F309:G309" si="74">SUM(F310:F317)</f>
        <v>302595</v>
      </c>
      <c r="G309" s="13">
        <f t="shared" si="74"/>
        <v>0</v>
      </c>
      <c r="H309" s="310">
        <f t="shared" ref="H309" si="75">SUM(H310:H317)</f>
        <v>3859319</v>
      </c>
    </row>
    <row r="310" spans="1:8" ht="15.75">
      <c r="A310" s="9"/>
      <c r="B310" s="10"/>
      <c r="C310" s="72">
        <v>3020</v>
      </c>
      <c r="D310" s="73" t="s">
        <v>119</v>
      </c>
      <c r="E310" s="13">
        <f>20000+77000+28910+27800+48100</f>
        <v>201810</v>
      </c>
      <c r="F310" s="13">
        <v>20000</v>
      </c>
      <c r="G310" s="13"/>
      <c r="H310" s="310">
        <f>E310+F310-G310</f>
        <v>221810</v>
      </c>
    </row>
    <row r="311" spans="1:8" ht="15.75">
      <c r="A311" s="9"/>
      <c r="B311" s="10"/>
      <c r="C311" s="11">
        <v>4010</v>
      </c>
      <c r="D311" s="12" t="s">
        <v>116</v>
      </c>
      <c r="E311" s="13">
        <v>24000</v>
      </c>
      <c r="F311" s="13"/>
      <c r="G311" s="13"/>
      <c r="H311" s="310">
        <f t="shared" ref="H311:H317" si="76">E311+F311-G311</f>
        <v>24000</v>
      </c>
    </row>
    <row r="312" spans="1:8" ht="15.75">
      <c r="A312" s="9"/>
      <c r="B312" s="10"/>
      <c r="C312" s="72">
        <v>4110</v>
      </c>
      <c r="D312" s="73" t="s">
        <v>99</v>
      </c>
      <c r="E312" s="13">
        <f>55000+66470+69595+155000+81000+100800</f>
        <v>527865</v>
      </c>
      <c r="F312" s="13"/>
      <c r="G312" s="13"/>
      <c r="H312" s="310">
        <f t="shared" si="76"/>
        <v>527865</v>
      </c>
    </row>
    <row r="313" spans="1:8" ht="15.75">
      <c r="A313" s="9"/>
      <c r="B313" s="10"/>
      <c r="C313" s="72">
        <v>4120</v>
      </c>
      <c r="D313" s="73" t="s">
        <v>100</v>
      </c>
      <c r="E313" s="13">
        <f>9000+10876+9919+19000+11500+9400</f>
        <v>69695</v>
      </c>
      <c r="F313" s="13"/>
      <c r="G313" s="13"/>
      <c r="H313" s="310">
        <f t="shared" si="76"/>
        <v>69695</v>
      </c>
    </row>
    <row r="314" spans="1:8" ht="15.75">
      <c r="A314" s="9"/>
      <c r="B314" s="10"/>
      <c r="C314" s="72">
        <v>4240</v>
      </c>
      <c r="D314" s="73" t="s">
        <v>145</v>
      </c>
      <c r="E314" s="13">
        <f>3000+3000+5000</f>
        <v>11000</v>
      </c>
      <c r="F314" s="13"/>
      <c r="G314" s="13"/>
      <c r="H314" s="310">
        <f t="shared" si="76"/>
        <v>11000</v>
      </c>
    </row>
    <row r="315" spans="1:8" ht="15.75">
      <c r="A315" s="9"/>
      <c r="B315" s="10"/>
      <c r="C315" s="72">
        <v>4440</v>
      </c>
      <c r="D315" s="73" t="s">
        <v>127</v>
      </c>
      <c r="E315" s="13"/>
      <c r="F315" s="13">
        <v>281095</v>
      </c>
      <c r="G315" s="13"/>
      <c r="H315" s="310">
        <f t="shared" si="76"/>
        <v>281095</v>
      </c>
    </row>
    <row r="316" spans="1:8" ht="15.75">
      <c r="A316" s="9"/>
      <c r="B316" s="10"/>
      <c r="C316" s="72">
        <v>4710</v>
      </c>
      <c r="D316" s="73" t="s">
        <v>103</v>
      </c>
      <c r="E316" s="13">
        <f>2000+640+100+3600</f>
        <v>6340</v>
      </c>
      <c r="F316" s="13">
        <v>1500</v>
      </c>
      <c r="G316" s="13"/>
      <c r="H316" s="310">
        <f t="shared" si="76"/>
        <v>7840</v>
      </c>
    </row>
    <row r="317" spans="1:8" ht="15.75">
      <c r="A317" s="9"/>
      <c r="B317" s="10"/>
      <c r="C317" s="72">
        <v>4790</v>
      </c>
      <c r="D317" s="73" t="s">
        <v>146</v>
      </c>
      <c r="E317" s="13">
        <f>300000+368658+404856+870000+437500+335000</f>
        <v>2716014</v>
      </c>
      <c r="F317" s="13"/>
      <c r="G317" s="13"/>
      <c r="H317" s="310">
        <f t="shared" si="76"/>
        <v>2716014</v>
      </c>
    </row>
    <row r="318" spans="1:8" ht="47.25">
      <c r="A318" s="9"/>
      <c r="B318" s="10">
        <v>80153</v>
      </c>
      <c r="C318" s="11"/>
      <c r="D318" s="12" t="s">
        <v>343</v>
      </c>
      <c r="E318" s="13">
        <f>SUM(E319)</f>
        <v>627</v>
      </c>
      <c r="F318" s="13">
        <f t="shared" ref="F318:H318" si="77">SUM(F319)</f>
        <v>0</v>
      </c>
      <c r="G318" s="13">
        <f t="shared" si="77"/>
        <v>0</v>
      </c>
      <c r="H318" s="310">
        <f t="shared" si="77"/>
        <v>627</v>
      </c>
    </row>
    <row r="319" spans="1:8" ht="15.75">
      <c r="A319" s="9"/>
      <c r="B319" s="10"/>
      <c r="C319" s="72">
        <v>2950</v>
      </c>
      <c r="D319" s="73" t="s">
        <v>346</v>
      </c>
      <c r="E319" s="13">
        <v>627</v>
      </c>
      <c r="F319" s="13"/>
      <c r="G319" s="13"/>
      <c r="H319" s="310">
        <f>E319+F319-G319</f>
        <v>627</v>
      </c>
    </row>
    <row r="320" spans="1:8" ht="15.75">
      <c r="A320" s="9"/>
      <c r="B320" s="10">
        <v>80195</v>
      </c>
      <c r="C320" s="11"/>
      <c r="D320" s="12" t="s">
        <v>8</v>
      </c>
      <c r="E320" s="13">
        <f>SUM(E321:E334)</f>
        <v>1483431.9999999998</v>
      </c>
      <c r="F320" s="13">
        <f t="shared" ref="F320:H320" si="78">SUM(F321:F334)</f>
        <v>285741.08</v>
      </c>
      <c r="G320" s="13">
        <f t="shared" si="78"/>
        <v>0</v>
      </c>
      <c r="H320" s="13">
        <f t="shared" si="78"/>
        <v>1769173.0799999998</v>
      </c>
    </row>
    <row r="321" spans="1:8" ht="31.5">
      <c r="A321" s="9"/>
      <c r="B321" s="10"/>
      <c r="C321" s="11">
        <v>2540</v>
      </c>
      <c r="D321" s="12" t="s">
        <v>142</v>
      </c>
      <c r="E321" s="13">
        <f>105200.64-81024.46+33418.58</f>
        <v>57594.759999999995</v>
      </c>
      <c r="F321" s="13">
        <v>25594.080000000002</v>
      </c>
      <c r="G321" s="13"/>
      <c r="H321" s="310">
        <f t="shared" ref="H321:H322" si="79">E321+F321-G321</f>
        <v>83188.84</v>
      </c>
    </row>
    <row r="322" spans="1:8" ht="47.25">
      <c r="A322" s="9"/>
      <c r="B322" s="10"/>
      <c r="C322" s="11">
        <v>2590</v>
      </c>
      <c r="D322" s="12" t="s">
        <v>149</v>
      </c>
      <c r="E322" s="13">
        <f>24176.18+81024.46+121638.24</f>
        <v>226838.88</v>
      </c>
      <c r="F322" s="13"/>
      <c r="G322" s="13"/>
      <c r="H322" s="310">
        <f t="shared" si="79"/>
        <v>226838.88</v>
      </c>
    </row>
    <row r="323" spans="1:8" ht="15.75">
      <c r="A323" s="9"/>
      <c r="B323" s="10"/>
      <c r="C323" s="11">
        <v>4170</v>
      </c>
      <c r="D323" s="12" t="s">
        <v>101</v>
      </c>
      <c r="E323" s="13">
        <v>5000</v>
      </c>
      <c r="F323" s="13"/>
      <c r="G323" s="13"/>
      <c r="H323" s="310">
        <f>E323+F323-G323</f>
        <v>5000</v>
      </c>
    </row>
    <row r="324" spans="1:8" ht="15.75">
      <c r="A324" s="9"/>
      <c r="B324" s="10"/>
      <c r="C324" s="11">
        <v>4270</v>
      </c>
      <c r="D324" s="12" t="s">
        <v>110</v>
      </c>
      <c r="E324" s="13">
        <f>250000+260000</f>
        <v>510000</v>
      </c>
      <c r="F324" s="13"/>
      <c r="G324" s="13"/>
      <c r="H324" s="310">
        <f t="shared" ref="H324:H334" si="80">E324+F324-G324</f>
        <v>510000</v>
      </c>
    </row>
    <row r="325" spans="1:8" ht="15.75">
      <c r="A325" s="62"/>
      <c r="B325" s="63"/>
      <c r="C325" s="11">
        <v>4300</v>
      </c>
      <c r="D325" s="12" t="s">
        <v>93</v>
      </c>
      <c r="E325" s="13">
        <f>1250000+555000+40000+790000-2600000-5000</f>
        <v>30000</v>
      </c>
      <c r="F325" s="13"/>
      <c r="G325" s="13"/>
      <c r="H325" s="310">
        <f t="shared" si="80"/>
        <v>30000</v>
      </c>
    </row>
    <row r="326" spans="1:8" ht="15.75">
      <c r="A326" s="62"/>
      <c r="B326" s="63"/>
      <c r="C326" s="11">
        <v>4307</v>
      </c>
      <c r="D326" s="12" t="s">
        <v>93</v>
      </c>
      <c r="E326" s="13"/>
      <c r="F326" s="13">
        <v>113717</v>
      </c>
      <c r="G326" s="13"/>
      <c r="H326" s="310">
        <f t="shared" si="80"/>
        <v>113717</v>
      </c>
    </row>
    <row r="327" spans="1:8" ht="15.75">
      <c r="A327" s="62"/>
      <c r="B327" s="63"/>
      <c r="C327" s="11">
        <v>4309</v>
      </c>
      <c r="D327" s="12" t="s">
        <v>93</v>
      </c>
      <c r="E327" s="13"/>
      <c r="F327" s="13">
        <v>52030</v>
      </c>
      <c r="G327" s="13"/>
      <c r="H327" s="310">
        <f t="shared" si="80"/>
        <v>52030</v>
      </c>
    </row>
    <row r="328" spans="1:8" ht="31.5">
      <c r="A328" s="62"/>
      <c r="B328" s="63"/>
      <c r="C328" s="11">
        <v>4350</v>
      </c>
      <c r="D328" s="12" t="s">
        <v>337</v>
      </c>
      <c r="E328" s="13">
        <f>211842.78+105210</f>
        <v>317052.78000000003</v>
      </c>
      <c r="F328" s="13"/>
      <c r="G328" s="13"/>
      <c r="H328" s="310">
        <f t="shared" si="80"/>
        <v>317052.78000000003</v>
      </c>
    </row>
    <row r="329" spans="1:8" ht="15.75">
      <c r="A329" s="62"/>
      <c r="B329" s="63"/>
      <c r="C329" s="11">
        <v>4370</v>
      </c>
      <c r="D329" s="12" t="s">
        <v>363</v>
      </c>
      <c r="E329" s="13">
        <f>32226.23</f>
        <v>32226.23</v>
      </c>
      <c r="F329" s="13"/>
      <c r="G329" s="13"/>
      <c r="H329" s="310">
        <f t="shared" si="80"/>
        <v>32226.23</v>
      </c>
    </row>
    <row r="330" spans="1:8" ht="15.75">
      <c r="A330" s="9"/>
      <c r="B330" s="10"/>
      <c r="C330" s="11">
        <v>4430</v>
      </c>
      <c r="D330" s="12" t="s">
        <v>95</v>
      </c>
      <c r="E330" s="13">
        <v>233722</v>
      </c>
      <c r="F330" s="13"/>
      <c r="G330" s="13"/>
      <c r="H330" s="310">
        <f t="shared" si="80"/>
        <v>233722</v>
      </c>
    </row>
    <row r="331" spans="1:8" ht="29.25" customHeight="1">
      <c r="A331" s="9"/>
      <c r="B331" s="10"/>
      <c r="C331" s="11">
        <v>4740</v>
      </c>
      <c r="D331" s="12" t="s">
        <v>333</v>
      </c>
      <c r="E331" s="13">
        <f>6000+39405</f>
        <v>45405</v>
      </c>
      <c r="F331" s="13"/>
      <c r="G331" s="13"/>
      <c r="H331" s="310">
        <f t="shared" si="80"/>
        <v>45405</v>
      </c>
    </row>
    <row r="332" spans="1:8" ht="30.75" customHeight="1">
      <c r="A332" s="9"/>
      <c r="B332" s="10"/>
      <c r="C332" s="11">
        <v>4750</v>
      </c>
      <c r="D332" s="12" t="s">
        <v>359</v>
      </c>
      <c r="E332" s="13">
        <f>8478.4+5101</f>
        <v>13579.4</v>
      </c>
      <c r="F332" s="13"/>
      <c r="G332" s="13"/>
      <c r="H332" s="310">
        <f t="shared" si="80"/>
        <v>13579.4</v>
      </c>
    </row>
    <row r="333" spans="1:8" ht="31.5">
      <c r="A333" s="9"/>
      <c r="B333" s="10"/>
      <c r="C333" s="11">
        <v>4850</v>
      </c>
      <c r="D333" s="12" t="s">
        <v>336</v>
      </c>
      <c r="E333" s="13">
        <f>1435+10577.95</f>
        <v>12012.95</v>
      </c>
      <c r="F333" s="13"/>
      <c r="G333" s="13"/>
      <c r="H333" s="310">
        <f t="shared" si="80"/>
        <v>12012.95</v>
      </c>
    </row>
    <row r="334" spans="1:8" ht="15.75">
      <c r="A334" s="9"/>
      <c r="B334" s="10"/>
      <c r="C334" s="11">
        <v>6057</v>
      </c>
      <c r="D334" s="73" t="s">
        <v>98</v>
      </c>
      <c r="E334" s="13"/>
      <c r="F334" s="13">
        <v>94400</v>
      </c>
      <c r="G334" s="13"/>
      <c r="H334" s="310">
        <f t="shared" si="80"/>
        <v>94400</v>
      </c>
    </row>
    <row r="335" spans="1:8" ht="15.75">
      <c r="A335" s="9">
        <v>851</v>
      </c>
      <c r="B335" s="10"/>
      <c r="C335" s="11"/>
      <c r="D335" s="12" t="s">
        <v>155</v>
      </c>
      <c r="E335" s="13">
        <f>E336+E339+E346+E358+E360</f>
        <v>1464495</v>
      </c>
      <c r="F335" s="13">
        <f>F336+F339+F346+F358+F360</f>
        <v>363794.79</v>
      </c>
      <c r="G335" s="13">
        <f>G336+G339+G346+G358+G360</f>
        <v>0</v>
      </c>
      <c r="H335" s="310">
        <f>H336+H339+H346+H358+H360</f>
        <v>1828289.79</v>
      </c>
    </row>
    <row r="336" spans="1:8" ht="15.75">
      <c r="A336" s="9"/>
      <c r="B336" s="10">
        <v>85149</v>
      </c>
      <c r="C336" s="11"/>
      <c r="D336" s="12" t="s">
        <v>213</v>
      </c>
      <c r="E336" s="13">
        <f>SUM(E337:E338)</f>
        <v>299190</v>
      </c>
      <c r="F336" s="13">
        <f t="shared" ref="F336:G336" si="81">SUM(F337:F338)</f>
        <v>0</v>
      </c>
      <c r="G336" s="13">
        <f t="shared" si="81"/>
        <v>0</v>
      </c>
      <c r="H336" s="310">
        <f>SUM(H337:H338)</f>
        <v>299190</v>
      </c>
    </row>
    <row r="337" spans="1:8" ht="47.25">
      <c r="A337" s="9"/>
      <c r="B337" s="10"/>
      <c r="C337" s="11">
        <v>2780</v>
      </c>
      <c r="D337" s="12" t="s">
        <v>214</v>
      </c>
      <c r="E337" s="13">
        <v>120000</v>
      </c>
      <c r="F337" s="13"/>
      <c r="G337" s="13"/>
      <c r="H337" s="310">
        <f>E337+F337-G337</f>
        <v>120000</v>
      </c>
    </row>
    <row r="338" spans="1:8" ht="15.75">
      <c r="A338" s="9"/>
      <c r="B338" s="10"/>
      <c r="C338" s="11">
        <v>4300</v>
      </c>
      <c r="D338" s="12" t="s">
        <v>93</v>
      </c>
      <c r="E338" s="13">
        <v>179190</v>
      </c>
      <c r="F338" s="13"/>
      <c r="G338" s="13"/>
      <c r="H338" s="310">
        <f>E338+F338-G338</f>
        <v>179190</v>
      </c>
    </row>
    <row r="339" spans="1:8" ht="15.75">
      <c r="A339" s="9"/>
      <c r="B339" s="10">
        <v>85153</v>
      </c>
      <c r="C339" s="11"/>
      <c r="D339" s="12" t="s">
        <v>156</v>
      </c>
      <c r="E339" s="13">
        <f>SUM(E340:E345)</f>
        <v>12000</v>
      </c>
      <c r="F339" s="13">
        <f t="shared" ref="F339:H339" si="82">SUM(F340:F345)</f>
        <v>0</v>
      </c>
      <c r="G339" s="13">
        <f t="shared" si="82"/>
        <v>0</v>
      </c>
      <c r="H339" s="310">
        <f t="shared" si="82"/>
        <v>12000</v>
      </c>
    </row>
    <row r="340" spans="1:8" ht="15.75">
      <c r="A340" s="9"/>
      <c r="B340" s="10"/>
      <c r="C340" s="11">
        <v>4110</v>
      </c>
      <c r="D340" s="12" t="s">
        <v>99</v>
      </c>
      <c r="E340" s="13">
        <v>1000</v>
      </c>
      <c r="F340" s="13"/>
      <c r="G340" s="13"/>
      <c r="H340" s="310">
        <f>E340+F340-G340</f>
        <v>1000</v>
      </c>
    </row>
    <row r="341" spans="1:8" ht="15.75">
      <c r="A341" s="9"/>
      <c r="B341" s="10"/>
      <c r="C341" s="11">
        <v>4120</v>
      </c>
      <c r="D341" s="12" t="s">
        <v>100</v>
      </c>
      <c r="E341" s="13">
        <v>1000</v>
      </c>
      <c r="F341" s="13"/>
      <c r="G341" s="13"/>
      <c r="H341" s="310">
        <f t="shared" ref="H341:H345" si="83">E341+F341-G341</f>
        <v>1000</v>
      </c>
    </row>
    <row r="342" spans="1:8" ht="15.75">
      <c r="A342" s="9"/>
      <c r="B342" s="10"/>
      <c r="C342" s="11">
        <v>4170</v>
      </c>
      <c r="D342" s="12" t="s">
        <v>101</v>
      </c>
      <c r="E342" s="13">
        <v>1000</v>
      </c>
      <c r="F342" s="13"/>
      <c r="G342" s="13"/>
      <c r="H342" s="310">
        <f t="shared" si="83"/>
        <v>1000</v>
      </c>
    </row>
    <row r="343" spans="1:8" ht="15.75">
      <c r="A343" s="9"/>
      <c r="B343" s="10"/>
      <c r="C343" s="11">
        <v>4210</v>
      </c>
      <c r="D343" s="12" t="s">
        <v>102</v>
      </c>
      <c r="E343" s="13">
        <v>2000</v>
      </c>
      <c r="F343" s="13"/>
      <c r="G343" s="13"/>
      <c r="H343" s="310">
        <f t="shared" si="83"/>
        <v>2000</v>
      </c>
    </row>
    <row r="344" spans="1:8" ht="15.75">
      <c r="A344" s="9"/>
      <c r="B344" s="10"/>
      <c r="C344" s="11">
        <v>4300</v>
      </c>
      <c r="D344" s="12" t="s">
        <v>93</v>
      </c>
      <c r="E344" s="13">
        <f>2000+5000</f>
        <v>7000</v>
      </c>
      <c r="F344" s="13"/>
      <c r="G344" s="13"/>
      <c r="H344" s="310">
        <f t="shared" si="83"/>
        <v>7000</v>
      </c>
    </row>
    <row r="345" spans="1:8" ht="31.5">
      <c r="A345" s="9"/>
      <c r="B345" s="10"/>
      <c r="C345" s="11">
        <v>4700</v>
      </c>
      <c r="D345" s="12" t="s">
        <v>128</v>
      </c>
      <c r="E345" s="13">
        <f>5000-5000</f>
        <v>0</v>
      </c>
      <c r="F345" s="13"/>
      <c r="G345" s="13"/>
      <c r="H345" s="310">
        <f t="shared" si="83"/>
        <v>0</v>
      </c>
    </row>
    <row r="346" spans="1:8" ht="15.75">
      <c r="A346" s="9"/>
      <c r="B346" s="10">
        <v>85154</v>
      </c>
      <c r="C346" s="11"/>
      <c r="D346" s="12" t="s">
        <v>157</v>
      </c>
      <c r="E346" s="13">
        <f>SUM(E347:E357)</f>
        <v>1010000</v>
      </c>
      <c r="F346" s="13">
        <f t="shared" ref="F346:H346" si="84">SUM(F347:F357)</f>
        <v>327956.78999999998</v>
      </c>
      <c r="G346" s="13">
        <f t="shared" si="84"/>
        <v>0</v>
      </c>
      <c r="H346" s="310">
        <f t="shared" si="84"/>
        <v>1337956.79</v>
      </c>
    </row>
    <row r="347" spans="1:8" ht="15.75">
      <c r="A347" s="9"/>
      <c r="B347" s="10"/>
      <c r="C347" s="11">
        <v>4110</v>
      </c>
      <c r="D347" s="12" t="s">
        <v>99</v>
      </c>
      <c r="E347" s="13">
        <v>4000</v>
      </c>
      <c r="F347" s="13"/>
      <c r="G347" s="13"/>
      <c r="H347" s="310">
        <f>E347+F347-G347</f>
        <v>4000</v>
      </c>
    </row>
    <row r="348" spans="1:8" ht="15.75">
      <c r="A348" s="9"/>
      <c r="B348" s="10"/>
      <c r="C348" s="11">
        <v>4120</v>
      </c>
      <c r="D348" s="12" t="s">
        <v>100</v>
      </c>
      <c r="E348" s="13">
        <v>1000</v>
      </c>
      <c r="F348" s="13"/>
      <c r="G348" s="13"/>
      <c r="H348" s="310">
        <f t="shared" ref="H348:H357" si="85">E348+F348-G348</f>
        <v>1000</v>
      </c>
    </row>
    <row r="349" spans="1:8" ht="15.75">
      <c r="A349" s="9"/>
      <c r="B349" s="10"/>
      <c r="C349" s="11">
        <v>4170</v>
      </c>
      <c r="D349" s="12" t="s">
        <v>101</v>
      </c>
      <c r="E349" s="13">
        <f>280000-2000</f>
        <v>278000</v>
      </c>
      <c r="F349" s="13"/>
      <c r="G349" s="13"/>
      <c r="H349" s="310">
        <f t="shared" si="85"/>
        <v>278000</v>
      </c>
    </row>
    <row r="350" spans="1:8" ht="15.75">
      <c r="A350" s="9"/>
      <c r="B350" s="10"/>
      <c r="C350" s="11">
        <v>4210</v>
      </c>
      <c r="D350" s="12" t="s">
        <v>102</v>
      </c>
      <c r="E350" s="13">
        <v>240000</v>
      </c>
      <c r="F350" s="13"/>
      <c r="G350" s="13"/>
      <c r="H350" s="310">
        <f t="shared" si="85"/>
        <v>240000</v>
      </c>
    </row>
    <row r="351" spans="1:8" ht="15.75">
      <c r="A351" s="9"/>
      <c r="B351" s="10"/>
      <c r="C351" s="11">
        <v>4220</v>
      </c>
      <c r="D351" s="12" t="s">
        <v>122</v>
      </c>
      <c r="E351" s="13">
        <v>30000</v>
      </c>
      <c r="F351" s="13"/>
      <c r="G351" s="13"/>
      <c r="H351" s="310">
        <f t="shared" si="85"/>
        <v>30000</v>
      </c>
    </row>
    <row r="352" spans="1:8" ht="15.75">
      <c r="A352" s="9"/>
      <c r="B352" s="10"/>
      <c r="C352" s="11">
        <v>4300</v>
      </c>
      <c r="D352" s="12" t="s">
        <v>93</v>
      </c>
      <c r="E352" s="13">
        <v>440000</v>
      </c>
      <c r="F352" s="13">
        <v>327956.78999999998</v>
      </c>
      <c r="G352" s="13"/>
      <c r="H352" s="310">
        <f t="shared" si="85"/>
        <v>767956.79</v>
      </c>
    </row>
    <row r="353" spans="1:8" ht="15.75">
      <c r="A353" s="9"/>
      <c r="B353" s="10"/>
      <c r="C353" s="11">
        <v>4410</v>
      </c>
      <c r="D353" s="12" t="s">
        <v>125</v>
      </c>
      <c r="E353" s="13">
        <v>3000</v>
      </c>
      <c r="F353" s="13"/>
      <c r="G353" s="13"/>
      <c r="H353" s="310">
        <f t="shared" si="85"/>
        <v>3000</v>
      </c>
    </row>
    <row r="354" spans="1:8" ht="15.75">
      <c r="A354" s="9"/>
      <c r="B354" s="10"/>
      <c r="C354" s="11">
        <v>4430</v>
      </c>
      <c r="D354" s="12" t="s">
        <v>95</v>
      </c>
      <c r="E354" s="13">
        <v>1000</v>
      </c>
      <c r="F354" s="13"/>
      <c r="G354" s="13"/>
      <c r="H354" s="310">
        <f t="shared" si="85"/>
        <v>1000</v>
      </c>
    </row>
    <row r="355" spans="1:8" ht="15.75">
      <c r="A355" s="9"/>
      <c r="B355" s="10"/>
      <c r="C355" s="11">
        <v>4610</v>
      </c>
      <c r="D355" s="12" t="s">
        <v>115</v>
      </c>
      <c r="E355" s="13">
        <v>1000</v>
      </c>
      <c r="F355" s="13"/>
      <c r="G355" s="13"/>
      <c r="H355" s="310">
        <f t="shared" si="85"/>
        <v>1000</v>
      </c>
    </row>
    <row r="356" spans="1:8" ht="31.5">
      <c r="A356" s="9"/>
      <c r="B356" s="10"/>
      <c r="C356" s="11">
        <v>4700</v>
      </c>
      <c r="D356" s="12" t="s">
        <v>128</v>
      </c>
      <c r="E356" s="13">
        <v>10000</v>
      </c>
      <c r="F356" s="13"/>
      <c r="G356" s="13"/>
      <c r="H356" s="310">
        <f t="shared" si="85"/>
        <v>10000</v>
      </c>
    </row>
    <row r="357" spans="1:8" ht="15.75">
      <c r="A357" s="9"/>
      <c r="B357" s="10"/>
      <c r="C357" s="72">
        <v>4710</v>
      </c>
      <c r="D357" s="73" t="s">
        <v>103</v>
      </c>
      <c r="E357" s="13">
        <v>2000</v>
      </c>
      <c r="F357" s="13"/>
      <c r="G357" s="13"/>
      <c r="H357" s="310">
        <f t="shared" si="85"/>
        <v>2000</v>
      </c>
    </row>
    <row r="358" spans="1:8" ht="15.75">
      <c r="A358" s="9"/>
      <c r="B358" s="10">
        <v>85158</v>
      </c>
      <c r="C358" s="11"/>
      <c r="D358" s="12" t="s">
        <v>158</v>
      </c>
      <c r="E358" s="13">
        <f>E359</f>
        <v>104143</v>
      </c>
      <c r="F358" s="13">
        <f t="shared" ref="F358:H358" si="86">F359</f>
        <v>0</v>
      </c>
      <c r="G358" s="13">
        <f t="shared" si="86"/>
        <v>0</v>
      </c>
      <c r="H358" s="310">
        <f t="shared" si="86"/>
        <v>104143</v>
      </c>
    </row>
    <row r="359" spans="1:8" ht="47.25">
      <c r="A359" s="9"/>
      <c r="B359" s="10"/>
      <c r="C359" s="11">
        <v>2710</v>
      </c>
      <c r="D359" s="12" t="s">
        <v>106</v>
      </c>
      <c r="E359" s="13">
        <v>104143</v>
      </c>
      <c r="F359" s="13"/>
      <c r="G359" s="13"/>
      <c r="H359" s="310">
        <f>E359+F359-G359</f>
        <v>104143</v>
      </c>
    </row>
    <row r="360" spans="1:8" ht="15.75">
      <c r="A360" s="9"/>
      <c r="B360" s="10">
        <v>85195</v>
      </c>
      <c r="C360" s="11"/>
      <c r="D360" s="12" t="s">
        <v>8</v>
      </c>
      <c r="E360" s="13">
        <f>SUM(E361:E362)</f>
        <v>39162</v>
      </c>
      <c r="F360" s="13">
        <f t="shared" ref="F360:G360" si="87">SUM(F361:F362)</f>
        <v>35838</v>
      </c>
      <c r="G360" s="13">
        <f t="shared" si="87"/>
        <v>0</v>
      </c>
      <c r="H360" s="310">
        <f t="shared" ref="H360" si="88">SUM(H361:H362)</f>
        <v>75000</v>
      </c>
    </row>
    <row r="361" spans="1:8" ht="15.75">
      <c r="A361" s="9"/>
      <c r="B361" s="10"/>
      <c r="C361" s="11">
        <v>4210</v>
      </c>
      <c r="D361" s="12" t="s">
        <v>102</v>
      </c>
      <c r="E361" s="13">
        <v>5000</v>
      </c>
      <c r="F361" s="13"/>
      <c r="G361" s="13"/>
      <c r="H361" s="310">
        <f>E361+F361-G361</f>
        <v>5000</v>
      </c>
    </row>
    <row r="362" spans="1:8" ht="15.75">
      <c r="A362" s="9"/>
      <c r="B362" s="10"/>
      <c r="C362" s="11">
        <v>4300</v>
      </c>
      <c r="D362" s="12" t="s">
        <v>93</v>
      </c>
      <c r="E362" s="13">
        <f>70000-35838</f>
        <v>34162</v>
      </c>
      <c r="F362" s="13">
        <v>35838</v>
      </c>
      <c r="G362" s="13"/>
      <c r="H362" s="310">
        <f>E362+F362-G362</f>
        <v>70000</v>
      </c>
    </row>
    <row r="363" spans="1:8" ht="15.75">
      <c r="A363" s="9">
        <v>852</v>
      </c>
      <c r="B363" s="10"/>
      <c r="C363" s="11"/>
      <c r="D363" s="12" t="s">
        <v>67</v>
      </c>
      <c r="E363" s="13">
        <f>E364+E366+E375+E377+E379+E390+E392+E408+E410+E419+E437+E412</f>
        <v>4630836.7699999996</v>
      </c>
      <c r="F363" s="13">
        <f>F364+F366+F375+F377+F379+F390+F392+F408+F410+F419+F437+F412</f>
        <v>36328</v>
      </c>
      <c r="G363" s="13">
        <f>G364+G366+G375+G377+G379+G390+G392+G408+G410+G419+G437+G412</f>
        <v>0</v>
      </c>
      <c r="H363" s="310">
        <f>H364+H366+H375+H377+H379+H390+H392+H408+H410+H419+H437+H412</f>
        <v>4667164.7699999996</v>
      </c>
    </row>
    <row r="364" spans="1:8" ht="15.75">
      <c r="A364" s="9"/>
      <c r="B364" s="10">
        <v>85202</v>
      </c>
      <c r="C364" s="11"/>
      <c r="D364" s="12" t="s">
        <v>68</v>
      </c>
      <c r="E364" s="13">
        <f>E365</f>
        <v>720000</v>
      </c>
      <c r="F364" s="13">
        <f t="shared" ref="F364:H364" si="89">F365</f>
        <v>0</v>
      </c>
      <c r="G364" s="13">
        <f t="shared" si="89"/>
        <v>0</v>
      </c>
      <c r="H364" s="310">
        <f t="shared" si="89"/>
        <v>720000</v>
      </c>
    </row>
    <row r="365" spans="1:8" ht="31.5">
      <c r="A365" s="9"/>
      <c r="B365" s="10"/>
      <c r="C365" s="11">
        <v>4330</v>
      </c>
      <c r="D365" s="12" t="s">
        <v>148</v>
      </c>
      <c r="E365" s="13">
        <v>720000</v>
      </c>
      <c r="F365" s="13"/>
      <c r="G365" s="13"/>
      <c r="H365" s="310">
        <f>E365+F365-G365</f>
        <v>720000</v>
      </c>
    </row>
    <row r="366" spans="1:8" ht="15.75">
      <c r="A366" s="9"/>
      <c r="B366" s="10">
        <v>85205</v>
      </c>
      <c r="C366" s="11"/>
      <c r="D366" s="12" t="s">
        <v>159</v>
      </c>
      <c r="E366" s="13">
        <f>SUM(E367:E374)</f>
        <v>33000</v>
      </c>
      <c r="F366" s="13">
        <f t="shared" ref="F366:H366" si="90">SUM(F367:F374)</f>
        <v>0</v>
      </c>
      <c r="G366" s="13">
        <f t="shared" si="90"/>
        <v>0</v>
      </c>
      <c r="H366" s="310">
        <f t="shared" si="90"/>
        <v>33000</v>
      </c>
    </row>
    <row r="367" spans="1:8" ht="15.75">
      <c r="A367" s="9"/>
      <c r="B367" s="10"/>
      <c r="C367" s="11">
        <v>4010</v>
      </c>
      <c r="D367" s="12" t="s">
        <v>116</v>
      </c>
      <c r="E367" s="13">
        <v>15000</v>
      </c>
      <c r="F367" s="13"/>
      <c r="G367" s="13"/>
      <c r="H367" s="310">
        <f>E367+F367-G367</f>
        <v>15000</v>
      </c>
    </row>
    <row r="368" spans="1:8" ht="15.75">
      <c r="A368" s="9"/>
      <c r="B368" s="10"/>
      <c r="C368" s="11">
        <v>4110</v>
      </c>
      <c r="D368" s="12" t="s">
        <v>99</v>
      </c>
      <c r="E368" s="13">
        <v>3000</v>
      </c>
      <c r="F368" s="13"/>
      <c r="G368" s="13"/>
      <c r="H368" s="310">
        <f t="shared" ref="H368:H374" si="91">E368+F368-G368</f>
        <v>3000</v>
      </c>
    </row>
    <row r="369" spans="1:8" ht="15.75">
      <c r="A369" s="9"/>
      <c r="B369" s="10"/>
      <c r="C369" s="11">
        <v>4120</v>
      </c>
      <c r="D369" s="12" t="s">
        <v>100</v>
      </c>
      <c r="E369" s="13">
        <v>1000</v>
      </c>
      <c r="F369" s="13"/>
      <c r="G369" s="13"/>
      <c r="H369" s="310">
        <f t="shared" si="91"/>
        <v>1000</v>
      </c>
    </row>
    <row r="370" spans="1:8" ht="15.75">
      <c r="A370" s="9"/>
      <c r="B370" s="10"/>
      <c r="C370" s="11">
        <v>4170</v>
      </c>
      <c r="D370" s="12" t="s">
        <v>101</v>
      </c>
      <c r="E370" s="13">
        <v>2000</v>
      </c>
      <c r="F370" s="13"/>
      <c r="G370" s="13"/>
      <c r="H370" s="310">
        <f t="shared" si="91"/>
        <v>2000</v>
      </c>
    </row>
    <row r="371" spans="1:8" ht="15.75">
      <c r="A371" s="9"/>
      <c r="B371" s="10"/>
      <c r="C371" s="11">
        <v>4210</v>
      </c>
      <c r="D371" s="12" t="s">
        <v>102</v>
      </c>
      <c r="E371" s="13">
        <v>4800</v>
      </c>
      <c r="F371" s="13"/>
      <c r="G371" s="13"/>
      <c r="H371" s="310">
        <f t="shared" si="91"/>
        <v>4800</v>
      </c>
    </row>
    <row r="372" spans="1:8" ht="15.75">
      <c r="A372" s="9"/>
      <c r="B372" s="10"/>
      <c r="C372" s="11">
        <v>4300</v>
      </c>
      <c r="D372" s="12" t="s">
        <v>93</v>
      </c>
      <c r="E372" s="13">
        <v>2000</v>
      </c>
      <c r="F372" s="13"/>
      <c r="G372" s="13"/>
      <c r="H372" s="310">
        <f t="shared" si="91"/>
        <v>2000</v>
      </c>
    </row>
    <row r="373" spans="1:8" ht="15.75">
      <c r="A373" s="9"/>
      <c r="B373" s="10"/>
      <c r="C373" s="11">
        <v>4360</v>
      </c>
      <c r="D373" s="12" t="s">
        <v>124</v>
      </c>
      <c r="E373" s="13">
        <v>1200</v>
      </c>
      <c r="F373" s="13"/>
      <c r="G373" s="13"/>
      <c r="H373" s="310">
        <f t="shared" si="91"/>
        <v>1200</v>
      </c>
    </row>
    <row r="374" spans="1:8" ht="28.5" customHeight="1">
      <c r="A374" s="9"/>
      <c r="B374" s="10"/>
      <c r="C374" s="11">
        <v>4700</v>
      </c>
      <c r="D374" s="12" t="s">
        <v>128</v>
      </c>
      <c r="E374" s="13">
        <v>4000</v>
      </c>
      <c r="F374" s="13"/>
      <c r="G374" s="13"/>
      <c r="H374" s="310">
        <f t="shared" si="91"/>
        <v>4000</v>
      </c>
    </row>
    <row r="375" spans="1:8" ht="45.75" customHeight="1">
      <c r="A375" s="9"/>
      <c r="B375" s="10">
        <v>85213</v>
      </c>
      <c r="C375" s="11"/>
      <c r="D375" s="12" t="s">
        <v>69</v>
      </c>
      <c r="E375" s="13">
        <f>E376</f>
        <v>33800</v>
      </c>
      <c r="F375" s="13">
        <f t="shared" ref="F375:H375" si="92">F376</f>
        <v>0</v>
      </c>
      <c r="G375" s="13">
        <f t="shared" si="92"/>
        <v>0</v>
      </c>
      <c r="H375" s="310">
        <f t="shared" si="92"/>
        <v>33800</v>
      </c>
    </row>
    <row r="376" spans="1:8" ht="15.75">
      <c r="A376" s="9"/>
      <c r="B376" s="10"/>
      <c r="C376" s="11">
        <v>4130</v>
      </c>
      <c r="D376" s="12" t="s">
        <v>160</v>
      </c>
      <c r="E376" s="13">
        <v>33800</v>
      </c>
      <c r="F376" s="13"/>
      <c r="G376" s="13"/>
      <c r="H376" s="310">
        <f>E376+F376-G376</f>
        <v>33800</v>
      </c>
    </row>
    <row r="377" spans="1:8" ht="31.5">
      <c r="A377" s="9"/>
      <c r="B377" s="10">
        <v>85214</v>
      </c>
      <c r="C377" s="11"/>
      <c r="D377" s="12" t="s">
        <v>70</v>
      </c>
      <c r="E377" s="13">
        <f>SUM(E378:E378)</f>
        <v>210000</v>
      </c>
      <c r="F377" s="13">
        <f t="shared" ref="F377:H377" si="93">SUM(F378:F378)</f>
        <v>0</v>
      </c>
      <c r="G377" s="13">
        <f t="shared" si="93"/>
        <v>0</v>
      </c>
      <c r="H377" s="310">
        <f t="shared" si="93"/>
        <v>210000</v>
      </c>
    </row>
    <row r="378" spans="1:8" ht="15.75">
      <c r="A378" s="9"/>
      <c r="B378" s="10"/>
      <c r="C378" s="11">
        <v>3110</v>
      </c>
      <c r="D378" s="12" t="s">
        <v>161</v>
      </c>
      <c r="E378" s="13">
        <v>210000</v>
      </c>
      <c r="F378" s="13"/>
      <c r="G378" s="13"/>
      <c r="H378" s="310">
        <f>E378+F378-G378</f>
        <v>210000</v>
      </c>
    </row>
    <row r="379" spans="1:8" ht="15.75">
      <c r="A379" s="9"/>
      <c r="B379" s="10">
        <v>85215</v>
      </c>
      <c r="C379" s="11"/>
      <c r="D379" s="12" t="s">
        <v>71</v>
      </c>
      <c r="E379" s="13">
        <f>SUM(E380:E389)</f>
        <v>222100</v>
      </c>
      <c r="F379" s="13">
        <f t="shared" ref="F379:H379" si="94">SUM(F380:F389)</f>
        <v>0</v>
      </c>
      <c r="G379" s="13">
        <f t="shared" si="94"/>
        <v>0</v>
      </c>
      <c r="H379" s="310">
        <f t="shared" si="94"/>
        <v>222100</v>
      </c>
    </row>
    <row r="380" spans="1:8" ht="15.75">
      <c r="A380" s="9"/>
      <c r="B380" s="10"/>
      <c r="C380" s="11">
        <v>3020</v>
      </c>
      <c r="D380" s="12" t="s">
        <v>119</v>
      </c>
      <c r="E380" s="13">
        <v>800</v>
      </c>
      <c r="F380" s="13"/>
      <c r="G380" s="13"/>
      <c r="H380" s="310">
        <f>E380+F380-G380</f>
        <v>800</v>
      </c>
    </row>
    <row r="381" spans="1:8" ht="15.75">
      <c r="A381" s="9"/>
      <c r="B381" s="10"/>
      <c r="C381" s="11">
        <v>3110</v>
      </c>
      <c r="D381" s="12" t="s">
        <v>161</v>
      </c>
      <c r="E381" s="13">
        <v>180000</v>
      </c>
      <c r="F381" s="13"/>
      <c r="G381" s="13"/>
      <c r="H381" s="310">
        <f t="shared" ref="H381:H389" si="95">E381+F381-G381</f>
        <v>180000</v>
      </c>
    </row>
    <row r="382" spans="1:8" ht="15.75">
      <c r="A382" s="9"/>
      <c r="B382" s="10"/>
      <c r="C382" s="11">
        <v>4010</v>
      </c>
      <c r="D382" s="12" t="s">
        <v>116</v>
      </c>
      <c r="E382" s="13">
        <v>30000</v>
      </c>
      <c r="F382" s="13"/>
      <c r="G382" s="13"/>
      <c r="H382" s="310">
        <f t="shared" si="95"/>
        <v>30000</v>
      </c>
    </row>
    <row r="383" spans="1:8" ht="15.75">
      <c r="A383" s="9"/>
      <c r="B383" s="10"/>
      <c r="C383" s="11">
        <v>4040</v>
      </c>
      <c r="D383" s="12" t="s">
        <v>120</v>
      </c>
      <c r="E383" s="13">
        <v>2000</v>
      </c>
      <c r="F383" s="13"/>
      <c r="G383" s="13"/>
      <c r="H383" s="310">
        <f t="shared" si="95"/>
        <v>2000</v>
      </c>
    </row>
    <row r="384" spans="1:8" ht="15.75">
      <c r="A384" s="9"/>
      <c r="B384" s="10"/>
      <c r="C384" s="11">
        <v>4110</v>
      </c>
      <c r="D384" s="12" t="s">
        <v>99</v>
      </c>
      <c r="E384" s="13">
        <v>5400</v>
      </c>
      <c r="F384" s="13"/>
      <c r="G384" s="13"/>
      <c r="H384" s="310">
        <f t="shared" si="95"/>
        <v>5400</v>
      </c>
    </row>
    <row r="385" spans="1:8" ht="15.75">
      <c r="A385" s="9"/>
      <c r="B385" s="10"/>
      <c r="C385" s="11">
        <v>4120</v>
      </c>
      <c r="D385" s="12" t="s">
        <v>100</v>
      </c>
      <c r="E385" s="13">
        <v>800</v>
      </c>
      <c r="F385" s="13"/>
      <c r="G385" s="13"/>
      <c r="H385" s="310">
        <f t="shared" si="95"/>
        <v>800</v>
      </c>
    </row>
    <row r="386" spans="1:8" ht="15.75">
      <c r="A386" s="9"/>
      <c r="B386" s="10"/>
      <c r="C386" s="11">
        <v>4410</v>
      </c>
      <c r="D386" s="12" t="s">
        <v>125</v>
      </c>
      <c r="E386" s="13">
        <v>500</v>
      </c>
      <c r="F386" s="13"/>
      <c r="G386" s="13"/>
      <c r="H386" s="310">
        <f t="shared" si="95"/>
        <v>500</v>
      </c>
    </row>
    <row r="387" spans="1:8" ht="15.75">
      <c r="A387" s="9"/>
      <c r="B387" s="10"/>
      <c r="C387" s="11">
        <v>4440</v>
      </c>
      <c r="D387" s="12" t="s">
        <v>127</v>
      </c>
      <c r="E387" s="13">
        <v>1450</v>
      </c>
      <c r="F387" s="13"/>
      <c r="G387" s="13"/>
      <c r="H387" s="310">
        <f t="shared" si="95"/>
        <v>1450</v>
      </c>
    </row>
    <row r="388" spans="1:8" ht="26.25" customHeight="1">
      <c r="A388" s="9"/>
      <c r="B388" s="10"/>
      <c r="C388" s="11">
        <v>4700</v>
      </c>
      <c r="D388" s="12" t="s">
        <v>128</v>
      </c>
      <c r="E388" s="13">
        <v>1000</v>
      </c>
      <c r="F388" s="13"/>
      <c r="G388" s="13"/>
      <c r="H388" s="310">
        <f t="shared" si="95"/>
        <v>1000</v>
      </c>
    </row>
    <row r="389" spans="1:8" ht="15.75">
      <c r="A389" s="9"/>
      <c r="B389" s="10"/>
      <c r="C389" s="11">
        <v>4710</v>
      </c>
      <c r="D389" s="12" t="s">
        <v>103</v>
      </c>
      <c r="E389" s="13">
        <v>150</v>
      </c>
      <c r="F389" s="13"/>
      <c r="G389" s="13"/>
      <c r="H389" s="310">
        <f t="shared" si="95"/>
        <v>150</v>
      </c>
    </row>
    <row r="390" spans="1:8" ht="15.75">
      <c r="A390" s="9"/>
      <c r="B390" s="10">
        <v>85216</v>
      </c>
      <c r="C390" s="64"/>
      <c r="D390" s="12" t="s">
        <v>74</v>
      </c>
      <c r="E390" s="13">
        <f>E391</f>
        <v>180000</v>
      </c>
      <c r="F390" s="13">
        <f t="shared" ref="F390:H390" si="96">F391</f>
        <v>0</v>
      </c>
      <c r="G390" s="13">
        <f t="shared" si="96"/>
        <v>0</v>
      </c>
      <c r="H390" s="310">
        <f t="shared" si="96"/>
        <v>180000</v>
      </c>
    </row>
    <row r="391" spans="1:8" ht="15.75">
      <c r="A391" s="9"/>
      <c r="B391" s="10"/>
      <c r="C391" s="11">
        <v>3110</v>
      </c>
      <c r="D391" s="12" t="s">
        <v>161</v>
      </c>
      <c r="E391" s="13">
        <v>180000</v>
      </c>
      <c r="F391" s="13"/>
      <c r="G391" s="13"/>
      <c r="H391" s="310">
        <f>E391+F391-G391</f>
        <v>180000</v>
      </c>
    </row>
    <row r="392" spans="1:8" ht="15.75">
      <c r="A392" s="9"/>
      <c r="B392" s="10">
        <v>85219</v>
      </c>
      <c r="C392" s="11"/>
      <c r="D392" s="12" t="s">
        <v>73</v>
      </c>
      <c r="E392" s="13">
        <f>SUM(E393:E407)</f>
        <v>1564656</v>
      </c>
      <c r="F392" s="13">
        <f t="shared" ref="F392:H392" si="97">SUM(F393:F407)</f>
        <v>0</v>
      </c>
      <c r="G392" s="13">
        <f t="shared" si="97"/>
        <v>0</v>
      </c>
      <c r="H392" s="310">
        <f t="shared" si="97"/>
        <v>1564656</v>
      </c>
    </row>
    <row r="393" spans="1:8" ht="15.75">
      <c r="A393" s="9"/>
      <c r="B393" s="10"/>
      <c r="C393" s="11">
        <v>3020</v>
      </c>
      <c r="D393" s="12" t="s">
        <v>119</v>
      </c>
      <c r="E393" s="13">
        <v>10400</v>
      </c>
      <c r="F393" s="13"/>
      <c r="G393" s="13"/>
      <c r="H393" s="310">
        <f>E393+F393-G393</f>
        <v>10400</v>
      </c>
    </row>
    <row r="394" spans="1:8" ht="15.75">
      <c r="A394" s="9"/>
      <c r="B394" s="10"/>
      <c r="C394" s="11">
        <v>4010</v>
      </c>
      <c r="D394" s="12" t="s">
        <v>116</v>
      </c>
      <c r="E394" s="13">
        <f>1050000+29956</f>
        <v>1079956</v>
      </c>
      <c r="F394" s="13"/>
      <c r="G394" s="13"/>
      <c r="H394" s="310">
        <f t="shared" ref="H394:H407" si="98">E394+F394-G394</f>
        <v>1079956</v>
      </c>
    </row>
    <row r="395" spans="1:8" ht="15.75">
      <c r="A395" s="9"/>
      <c r="B395" s="10"/>
      <c r="C395" s="11">
        <v>4040</v>
      </c>
      <c r="D395" s="12" t="s">
        <v>120</v>
      </c>
      <c r="E395" s="13">
        <f>85000-6705</f>
        <v>78295</v>
      </c>
      <c r="F395" s="13"/>
      <c r="G395" s="13"/>
      <c r="H395" s="310">
        <f t="shared" si="98"/>
        <v>78295</v>
      </c>
    </row>
    <row r="396" spans="1:8" ht="15.75">
      <c r="A396" s="9"/>
      <c r="B396" s="10"/>
      <c r="C396" s="11">
        <v>4110</v>
      </c>
      <c r="D396" s="12" t="s">
        <v>99</v>
      </c>
      <c r="E396" s="13">
        <v>190000</v>
      </c>
      <c r="F396" s="13"/>
      <c r="G396" s="13"/>
      <c r="H396" s="310">
        <f t="shared" si="98"/>
        <v>190000</v>
      </c>
    </row>
    <row r="397" spans="1:8" ht="15.75">
      <c r="A397" s="9"/>
      <c r="B397" s="10"/>
      <c r="C397" s="11">
        <v>4120</v>
      </c>
      <c r="D397" s="12" t="s">
        <v>100</v>
      </c>
      <c r="E397" s="13">
        <v>32000</v>
      </c>
      <c r="F397" s="13"/>
      <c r="G397" s="13"/>
      <c r="H397" s="310">
        <f t="shared" si="98"/>
        <v>32000</v>
      </c>
    </row>
    <row r="398" spans="1:8" ht="15.75">
      <c r="A398" s="9"/>
      <c r="B398" s="10"/>
      <c r="C398" s="11">
        <v>4170</v>
      </c>
      <c r="D398" s="12" t="s">
        <v>101</v>
      </c>
      <c r="E398" s="13">
        <v>17000</v>
      </c>
      <c r="F398" s="13"/>
      <c r="G398" s="13"/>
      <c r="H398" s="310">
        <f t="shared" si="98"/>
        <v>17000</v>
      </c>
    </row>
    <row r="399" spans="1:8" ht="15.75">
      <c r="A399" s="9"/>
      <c r="B399" s="10"/>
      <c r="C399" s="11">
        <v>4210</v>
      </c>
      <c r="D399" s="12" t="s">
        <v>102</v>
      </c>
      <c r="E399" s="13">
        <v>25000</v>
      </c>
      <c r="F399" s="13"/>
      <c r="G399" s="13"/>
      <c r="H399" s="310">
        <f t="shared" si="98"/>
        <v>25000</v>
      </c>
    </row>
    <row r="400" spans="1:8" ht="15.75">
      <c r="A400" s="9"/>
      <c r="B400" s="10"/>
      <c r="C400" s="11">
        <v>4280</v>
      </c>
      <c r="D400" s="12" t="s">
        <v>123</v>
      </c>
      <c r="E400" s="13">
        <v>1200</v>
      </c>
      <c r="F400" s="13"/>
      <c r="G400" s="13"/>
      <c r="H400" s="310">
        <f t="shared" si="98"/>
        <v>1200</v>
      </c>
    </row>
    <row r="401" spans="1:8" ht="15.75">
      <c r="A401" s="9"/>
      <c r="B401" s="10"/>
      <c r="C401" s="11">
        <v>4300</v>
      </c>
      <c r="D401" s="12" t="s">
        <v>93</v>
      </c>
      <c r="E401" s="13">
        <v>50000</v>
      </c>
      <c r="F401" s="13"/>
      <c r="G401" s="13"/>
      <c r="H401" s="310">
        <f t="shared" si="98"/>
        <v>50000</v>
      </c>
    </row>
    <row r="402" spans="1:8" ht="15.75">
      <c r="A402" s="9"/>
      <c r="B402" s="10"/>
      <c r="C402" s="11">
        <v>4360</v>
      </c>
      <c r="D402" s="12" t="s">
        <v>124</v>
      </c>
      <c r="E402" s="13">
        <v>7000</v>
      </c>
      <c r="F402" s="13"/>
      <c r="G402" s="13"/>
      <c r="H402" s="310">
        <f t="shared" si="98"/>
        <v>7000</v>
      </c>
    </row>
    <row r="403" spans="1:8" ht="15.75">
      <c r="A403" s="9"/>
      <c r="B403" s="10"/>
      <c r="C403" s="11">
        <v>4410</v>
      </c>
      <c r="D403" s="12" t="s">
        <v>125</v>
      </c>
      <c r="E403" s="13">
        <v>18000</v>
      </c>
      <c r="F403" s="13"/>
      <c r="G403" s="13"/>
      <c r="H403" s="310">
        <f t="shared" si="98"/>
        <v>18000</v>
      </c>
    </row>
    <row r="404" spans="1:8" ht="15.75">
      <c r="A404" s="9"/>
      <c r="B404" s="10"/>
      <c r="C404" s="11">
        <v>4430</v>
      </c>
      <c r="D404" s="12" t="s">
        <v>95</v>
      </c>
      <c r="E404" s="13">
        <v>10000</v>
      </c>
      <c r="F404" s="13"/>
      <c r="G404" s="13"/>
      <c r="H404" s="310">
        <f t="shared" si="98"/>
        <v>10000</v>
      </c>
    </row>
    <row r="405" spans="1:8" ht="15.75">
      <c r="A405" s="9"/>
      <c r="B405" s="10"/>
      <c r="C405" s="11">
        <v>4440</v>
      </c>
      <c r="D405" s="12" t="s">
        <v>127</v>
      </c>
      <c r="E405" s="13">
        <f>22100+6705</f>
        <v>28805</v>
      </c>
      <c r="F405" s="13"/>
      <c r="G405" s="13"/>
      <c r="H405" s="310">
        <f t="shared" si="98"/>
        <v>28805</v>
      </c>
    </row>
    <row r="406" spans="1:8" ht="27.75" customHeight="1">
      <c r="A406" s="9"/>
      <c r="B406" s="10"/>
      <c r="C406" s="11">
        <v>4700</v>
      </c>
      <c r="D406" s="12" t="s">
        <v>128</v>
      </c>
      <c r="E406" s="13">
        <v>9000</v>
      </c>
      <c r="F406" s="13"/>
      <c r="G406" s="13"/>
      <c r="H406" s="310">
        <f t="shared" si="98"/>
        <v>9000</v>
      </c>
    </row>
    <row r="407" spans="1:8" ht="15.75">
      <c r="A407" s="9"/>
      <c r="B407" s="10"/>
      <c r="C407" s="11">
        <v>4710</v>
      </c>
      <c r="D407" s="12" t="s">
        <v>103</v>
      </c>
      <c r="E407" s="13">
        <v>8000</v>
      </c>
      <c r="F407" s="13"/>
      <c r="G407" s="13"/>
      <c r="H407" s="310">
        <f t="shared" si="98"/>
        <v>8000</v>
      </c>
    </row>
    <row r="408" spans="1:8" ht="15.75">
      <c r="A408" s="9"/>
      <c r="B408" s="10">
        <v>85228</v>
      </c>
      <c r="C408" s="11"/>
      <c r="D408" s="12" t="s">
        <v>74</v>
      </c>
      <c r="E408" s="13">
        <f>SUM(E409:E409)</f>
        <v>260000</v>
      </c>
      <c r="F408" s="13">
        <f t="shared" ref="F408:H408" si="99">SUM(F409:F409)</f>
        <v>0</v>
      </c>
      <c r="G408" s="13">
        <f t="shared" si="99"/>
        <v>0</v>
      </c>
      <c r="H408" s="310">
        <f t="shared" si="99"/>
        <v>260000</v>
      </c>
    </row>
    <row r="409" spans="1:8" ht="15.75">
      <c r="A409" s="9"/>
      <c r="B409" s="10"/>
      <c r="C409" s="11">
        <v>4300</v>
      </c>
      <c r="D409" s="12" t="s">
        <v>93</v>
      </c>
      <c r="E409" s="13">
        <v>260000</v>
      </c>
      <c r="F409" s="13"/>
      <c r="G409" s="13"/>
      <c r="H409" s="310">
        <f>E409+F409-G409</f>
        <v>260000</v>
      </c>
    </row>
    <row r="410" spans="1:8" ht="15.75">
      <c r="A410" s="9"/>
      <c r="B410" s="10">
        <v>85230</v>
      </c>
      <c r="C410" s="11"/>
      <c r="D410" s="12" t="s">
        <v>75</v>
      </c>
      <c r="E410" s="13">
        <f>E411</f>
        <v>215056.82</v>
      </c>
      <c r="F410" s="13">
        <f t="shared" ref="F410:H410" si="100">F411</f>
        <v>0</v>
      </c>
      <c r="G410" s="13">
        <f t="shared" si="100"/>
        <v>0</v>
      </c>
      <c r="H410" s="310">
        <f t="shared" si="100"/>
        <v>215056.82</v>
      </c>
    </row>
    <row r="411" spans="1:8" ht="15.75">
      <c r="A411" s="9"/>
      <c r="B411" s="10"/>
      <c r="C411" s="11">
        <v>3110</v>
      </c>
      <c r="D411" s="12" t="s">
        <v>161</v>
      </c>
      <c r="E411" s="13">
        <f>180000+35056.82</f>
        <v>215056.82</v>
      </c>
      <c r="F411" s="13"/>
      <c r="G411" s="13"/>
      <c r="H411" s="310">
        <f>E411+F411-G411</f>
        <v>215056.82</v>
      </c>
    </row>
    <row r="412" spans="1:8" ht="15.75">
      <c r="A412" s="62"/>
      <c r="B412" s="10">
        <v>85231</v>
      </c>
      <c r="C412" s="11"/>
      <c r="D412" s="12" t="s">
        <v>332</v>
      </c>
      <c r="E412" s="13">
        <f>SUM(E413:E418)</f>
        <v>361457.26</v>
      </c>
      <c r="F412" s="13">
        <f t="shared" ref="F412:H412" si="101">SUM(F413:F418)</f>
        <v>36328</v>
      </c>
      <c r="G412" s="13">
        <f t="shared" si="101"/>
        <v>0</v>
      </c>
      <c r="H412" s="310">
        <f t="shared" si="101"/>
        <v>397785.26</v>
      </c>
    </row>
    <row r="413" spans="1:8" ht="15.75">
      <c r="A413" s="9"/>
      <c r="B413" s="10"/>
      <c r="C413" s="11">
        <v>3280</v>
      </c>
      <c r="D413" s="12" t="s">
        <v>334</v>
      </c>
      <c r="E413" s="13">
        <f>12621+27299+58600+90240+46400</f>
        <v>235160</v>
      </c>
      <c r="F413" s="13">
        <v>30720</v>
      </c>
      <c r="G413" s="13"/>
      <c r="H413" s="310">
        <f>E413+F413-G413</f>
        <v>265880</v>
      </c>
    </row>
    <row r="414" spans="1:8" ht="29.25" customHeight="1">
      <c r="A414" s="9"/>
      <c r="B414" s="10"/>
      <c r="C414" s="11">
        <v>3290</v>
      </c>
      <c r="D414" s="73" t="s">
        <v>340</v>
      </c>
      <c r="E414" s="13">
        <f>18562.18+15101.39+66708.8+20679.92</f>
        <v>121052.29</v>
      </c>
      <c r="F414" s="13">
        <f>1960.78+2941.18</f>
        <v>4901.96</v>
      </c>
      <c r="G414" s="13"/>
      <c r="H414" s="310">
        <f>E414+F414-G414</f>
        <v>125954.25</v>
      </c>
    </row>
    <row r="415" spans="1:8" ht="31.5">
      <c r="A415" s="9"/>
      <c r="B415" s="10"/>
      <c r="C415" s="11">
        <v>4350</v>
      </c>
      <c r="D415" s="73" t="s">
        <v>337</v>
      </c>
      <c r="E415" s="13">
        <f>379+442.82+894.61+282.83+58.82</f>
        <v>2058.08</v>
      </c>
      <c r="F415" s="13">
        <f>39.22+58.82</f>
        <v>98.039999999999992</v>
      </c>
      <c r="G415" s="13"/>
      <c r="H415" s="310">
        <f>E415+F415-G415</f>
        <v>2156.12</v>
      </c>
    </row>
    <row r="416" spans="1:8" ht="15.75">
      <c r="A416" s="9"/>
      <c r="B416" s="10"/>
      <c r="C416" s="11">
        <v>4370</v>
      </c>
      <c r="D416" s="12" t="s">
        <v>363</v>
      </c>
      <c r="E416" s="13">
        <f>1758+436.89</f>
        <v>2194.89</v>
      </c>
      <c r="F416" s="13"/>
      <c r="G416" s="13"/>
      <c r="H416" s="310">
        <f t="shared" ref="H416:H418" si="102">E416+F416-G416</f>
        <v>2194.89</v>
      </c>
    </row>
    <row r="417" spans="1:8" ht="26.25" customHeight="1">
      <c r="A417" s="9"/>
      <c r="B417" s="10"/>
      <c r="C417" s="11">
        <v>4740</v>
      </c>
      <c r="D417" s="12" t="s">
        <v>333</v>
      </c>
      <c r="E417" s="13">
        <f>410+410</f>
        <v>820</v>
      </c>
      <c r="F417" s="13">
        <v>502.48</v>
      </c>
      <c r="G417" s="13"/>
      <c r="H417" s="310">
        <f t="shared" si="102"/>
        <v>1322.48</v>
      </c>
    </row>
    <row r="418" spans="1:8" ht="31.5" customHeight="1">
      <c r="A418" s="9"/>
      <c r="B418" s="10"/>
      <c r="C418" s="11">
        <v>4850</v>
      </c>
      <c r="D418" s="12" t="s">
        <v>336</v>
      </c>
      <c r="E418" s="13">
        <f>86+86</f>
        <v>172</v>
      </c>
      <c r="F418" s="13">
        <v>105.52</v>
      </c>
      <c r="G418" s="13"/>
      <c r="H418" s="310">
        <f t="shared" si="102"/>
        <v>277.52</v>
      </c>
    </row>
    <row r="419" spans="1:8" ht="15.75">
      <c r="A419" s="9"/>
      <c r="B419" s="10">
        <v>85232</v>
      </c>
      <c r="C419" s="11"/>
      <c r="D419" s="12" t="s">
        <v>76</v>
      </c>
      <c r="E419" s="13">
        <f>SUM(E420:E436)</f>
        <v>725621</v>
      </c>
      <c r="F419" s="13">
        <f t="shared" ref="F419:H419" si="103">SUM(F420:F436)</f>
        <v>0</v>
      </c>
      <c r="G419" s="13">
        <f t="shared" si="103"/>
        <v>0</v>
      </c>
      <c r="H419" s="310">
        <f t="shared" si="103"/>
        <v>725621</v>
      </c>
    </row>
    <row r="420" spans="1:8" ht="15.75">
      <c r="A420" s="9"/>
      <c r="B420" s="10"/>
      <c r="C420" s="11">
        <v>3020</v>
      </c>
      <c r="D420" s="12" t="s">
        <v>119</v>
      </c>
      <c r="E420" s="13">
        <v>2400</v>
      </c>
      <c r="F420" s="13"/>
      <c r="G420" s="13"/>
      <c r="H420" s="310">
        <f>E420+F420-G420</f>
        <v>2400</v>
      </c>
    </row>
    <row r="421" spans="1:8" ht="15.75">
      <c r="A421" s="9"/>
      <c r="B421" s="10"/>
      <c r="C421" s="11">
        <v>3110</v>
      </c>
      <c r="D421" s="12" t="s">
        <v>161</v>
      </c>
      <c r="E421" s="13">
        <v>20000</v>
      </c>
      <c r="F421" s="13"/>
      <c r="G421" s="13"/>
      <c r="H421" s="310">
        <f>E421+F421-G421</f>
        <v>20000</v>
      </c>
    </row>
    <row r="422" spans="1:8" ht="15.75">
      <c r="A422" s="9"/>
      <c r="B422" s="10"/>
      <c r="C422" s="11">
        <v>4010</v>
      </c>
      <c r="D422" s="12" t="s">
        <v>116</v>
      </c>
      <c r="E422" s="13">
        <v>326026</v>
      </c>
      <c r="F422" s="13"/>
      <c r="G422" s="13"/>
      <c r="H422" s="310">
        <f t="shared" ref="H422:H436" si="104">E422+F422-G422</f>
        <v>326026</v>
      </c>
    </row>
    <row r="423" spans="1:8" ht="15.75">
      <c r="A423" s="9"/>
      <c r="B423" s="10"/>
      <c r="C423" s="11">
        <v>4040</v>
      </c>
      <c r="D423" s="12" t="s">
        <v>120</v>
      </c>
      <c r="E423" s="13">
        <v>18400</v>
      </c>
      <c r="F423" s="13"/>
      <c r="G423" s="13"/>
      <c r="H423" s="310">
        <f t="shared" si="104"/>
        <v>18400</v>
      </c>
    </row>
    <row r="424" spans="1:8" ht="15.75">
      <c r="A424" s="9"/>
      <c r="B424" s="10"/>
      <c r="C424" s="11">
        <v>4110</v>
      </c>
      <c r="D424" s="12" t="s">
        <v>99</v>
      </c>
      <c r="E424" s="13">
        <v>65511</v>
      </c>
      <c r="F424" s="13"/>
      <c r="G424" s="13"/>
      <c r="H424" s="310">
        <f t="shared" si="104"/>
        <v>65511</v>
      </c>
    </row>
    <row r="425" spans="1:8" ht="15.75">
      <c r="A425" s="9"/>
      <c r="B425" s="10"/>
      <c r="C425" s="11">
        <v>4120</v>
      </c>
      <c r="D425" s="12" t="s">
        <v>100</v>
      </c>
      <c r="E425" s="13">
        <v>8209</v>
      </c>
      <c r="F425" s="13"/>
      <c r="G425" s="13"/>
      <c r="H425" s="310">
        <f t="shared" si="104"/>
        <v>8209</v>
      </c>
    </row>
    <row r="426" spans="1:8" ht="15.75">
      <c r="A426" s="9"/>
      <c r="B426" s="10"/>
      <c r="C426" s="11">
        <v>4170</v>
      </c>
      <c r="D426" s="12" t="s">
        <v>101</v>
      </c>
      <c r="E426" s="13">
        <v>20000</v>
      </c>
      <c r="F426" s="13"/>
      <c r="G426" s="13"/>
      <c r="H426" s="310">
        <f t="shared" si="104"/>
        <v>20000</v>
      </c>
    </row>
    <row r="427" spans="1:8" ht="15.75">
      <c r="A427" s="9"/>
      <c r="B427" s="10"/>
      <c r="C427" s="11">
        <v>4210</v>
      </c>
      <c r="D427" s="12" t="s">
        <v>102</v>
      </c>
      <c r="E427" s="13">
        <v>101300</v>
      </c>
      <c r="F427" s="13"/>
      <c r="G427" s="13"/>
      <c r="H427" s="310">
        <f t="shared" si="104"/>
        <v>101300</v>
      </c>
    </row>
    <row r="428" spans="1:8" ht="15.75">
      <c r="A428" s="9"/>
      <c r="B428" s="10"/>
      <c r="C428" s="11">
        <v>4260</v>
      </c>
      <c r="D428" s="12" t="s">
        <v>111</v>
      </c>
      <c r="E428" s="13">
        <f>31000-2400</f>
        <v>28600</v>
      </c>
      <c r="F428" s="13"/>
      <c r="G428" s="13"/>
      <c r="H428" s="310">
        <f t="shared" si="104"/>
        <v>28600</v>
      </c>
    </row>
    <row r="429" spans="1:8" ht="15.75">
      <c r="A429" s="9"/>
      <c r="B429" s="10"/>
      <c r="C429" s="11">
        <v>4280</v>
      </c>
      <c r="D429" s="12" t="s">
        <v>123</v>
      </c>
      <c r="E429" s="13">
        <v>3000</v>
      </c>
      <c r="F429" s="13"/>
      <c r="G429" s="13"/>
      <c r="H429" s="310">
        <f t="shared" si="104"/>
        <v>3000</v>
      </c>
    </row>
    <row r="430" spans="1:8" ht="15.75">
      <c r="A430" s="9"/>
      <c r="B430" s="10"/>
      <c r="C430" s="11">
        <v>4300</v>
      </c>
      <c r="D430" s="12" t="s">
        <v>93</v>
      </c>
      <c r="E430" s="13">
        <v>98000</v>
      </c>
      <c r="F430" s="13"/>
      <c r="G430" s="13"/>
      <c r="H430" s="310">
        <f t="shared" si="104"/>
        <v>98000</v>
      </c>
    </row>
    <row r="431" spans="1:8" ht="15.75">
      <c r="A431" s="9"/>
      <c r="B431" s="10"/>
      <c r="C431" s="11">
        <v>4360</v>
      </c>
      <c r="D431" s="12" t="s">
        <v>124</v>
      </c>
      <c r="E431" s="13">
        <v>2500</v>
      </c>
      <c r="F431" s="13"/>
      <c r="G431" s="13"/>
      <c r="H431" s="310">
        <f t="shared" si="104"/>
        <v>2500</v>
      </c>
    </row>
    <row r="432" spans="1:8" ht="15.75">
      <c r="A432" s="9"/>
      <c r="B432" s="10"/>
      <c r="C432" s="11">
        <v>4410</v>
      </c>
      <c r="D432" s="12" t="s">
        <v>125</v>
      </c>
      <c r="E432" s="13">
        <v>3000</v>
      </c>
      <c r="F432" s="13"/>
      <c r="G432" s="13"/>
      <c r="H432" s="310">
        <f t="shared" si="104"/>
        <v>3000</v>
      </c>
    </row>
    <row r="433" spans="1:8" ht="15.75">
      <c r="A433" s="9"/>
      <c r="B433" s="10"/>
      <c r="C433" s="11">
        <v>4430</v>
      </c>
      <c r="D433" s="12" t="s">
        <v>95</v>
      </c>
      <c r="E433" s="13">
        <v>13800</v>
      </c>
      <c r="F433" s="13"/>
      <c r="G433" s="13"/>
      <c r="H433" s="310">
        <f t="shared" si="104"/>
        <v>13800</v>
      </c>
    </row>
    <row r="434" spans="1:8" ht="15.75">
      <c r="A434" s="9"/>
      <c r="B434" s="10"/>
      <c r="C434" s="11">
        <v>4440</v>
      </c>
      <c r="D434" s="12" t="s">
        <v>127</v>
      </c>
      <c r="E434" s="13">
        <v>8375</v>
      </c>
      <c r="F434" s="13"/>
      <c r="G434" s="13"/>
      <c r="H434" s="310">
        <f t="shared" si="104"/>
        <v>8375</v>
      </c>
    </row>
    <row r="435" spans="1:8" ht="28.5" customHeight="1">
      <c r="A435" s="9"/>
      <c r="B435" s="10"/>
      <c r="C435" s="11">
        <v>4700</v>
      </c>
      <c r="D435" s="12" t="s">
        <v>128</v>
      </c>
      <c r="E435" s="13">
        <v>5000</v>
      </c>
      <c r="F435" s="13"/>
      <c r="G435" s="13"/>
      <c r="H435" s="310">
        <f t="shared" si="104"/>
        <v>5000</v>
      </c>
    </row>
    <row r="436" spans="1:8" ht="15.75">
      <c r="A436" s="9"/>
      <c r="B436" s="10"/>
      <c r="C436" s="11">
        <v>4710</v>
      </c>
      <c r="D436" s="12" t="s">
        <v>103</v>
      </c>
      <c r="E436" s="13">
        <v>1500</v>
      </c>
      <c r="F436" s="13"/>
      <c r="G436" s="13"/>
      <c r="H436" s="310">
        <f t="shared" si="104"/>
        <v>1500</v>
      </c>
    </row>
    <row r="437" spans="1:8" ht="15.75">
      <c r="A437" s="44"/>
      <c r="B437" s="10">
        <v>85295</v>
      </c>
      <c r="C437" s="11"/>
      <c r="D437" s="12" t="s">
        <v>8</v>
      </c>
      <c r="E437" s="13">
        <f>SUM(E438:E442)</f>
        <v>105145.68999999999</v>
      </c>
      <c r="F437" s="13">
        <f t="shared" ref="F437:H437" si="105">SUM(F438:F442)</f>
        <v>0</v>
      </c>
      <c r="G437" s="13">
        <f t="shared" si="105"/>
        <v>0</v>
      </c>
      <c r="H437" s="310">
        <f t="shared" si="105"/>
        <v>105145.68999999999</v>
      </c>
    </row>
    <row r="438" spans="1:8" ht="63">
      <c r="A438" s="44"/>
      <c r="B438" s="10"/>
      <c r="C438" s="11">
        <v>2360</v>
      </c>
      <c r="D438" s="12" t="s">
        <v>338</v>
      </c>
      <c r="E438" s="13">
        <v>35000</v>
      </c>
      <c r="F438" s="13"/>
      <c r="G438" s="13"/>
      <c r="H438" s="310">
        <f>E438+F438-G438</f>
        <v>35000</v>
      </c>
    </row>
    <row r="439" spans="1:8" ht="15.75">
      <c r="A439" s="44"/>
      <c r="B439" s="10"/>
      <c r="C439" s="11">
        <v>3110</v>
      </c>
      <c r="D439" s="12" t="s">
        <v>161</v>
      </c>
      <c r="E439" s="13">
        <f>64464.4</f>
        <v>64464.4</v>
      </c>
      <c r="F439" s="13"/>
      <c r="G439" s="13"/>
      <c r="H439" s="310">
        <f>E439+F439-G439</f>
        <v>64464.4</v>
      </c>
    </row>
    <row r="440" spans="1:8" ht="15.75">
      <c r="A440" s="9"/>
      <c r="B440" s="10"/>
      <c r="C440" s="11">
        <v>4210</v>
      </c>
      <c r="D440" s="12" t="s">
        <v>161</v>
      </c>
      <c r="E440" s="13">
        <v>4392</v>
      </c>
      <c r="F440" s="13"/>
      <c r="G440" s="13"/>
      <c r="H440" s="310">
        <f>E440+F440-G440</f>
        <v>4392</v>
      </c>
    </row>
    <row r="441" spans="1:8" ht="15.75">
      <c r="A441" s="9"/>
      <c r="B441" s="10"/>
      <c r="C441" s="11">
        <v>4300</v>
      </c>
      <c r="D441" s="12" t="s">
        <v>93</v>
      </c>
      <c r="E441" s="13">
        <f>1289.29</f>
        <v>1289.29</v>
      </c>
      <c r="F441" s="13"/>
      <c r="G441" s="13"/>
      <c r="H441" s="310">
        <f>E441+F441-G441</f>
        <v>1289.29</v>
      </c>
    </row>
    <row r="442" spans="1:8" ht="15.75">
      <c r="A442" s="62"/>
      <c r="B442" s="63"/>
      <c r="C442" s="64"/>
      <c r="D442" s="12" t="s">
        <v>369</v>
      </c>
      <c r="E442" s="65"/>
      <c r="F442" s="65"/>
      <c r="G442" s="65"/>
      <c r="H442" s="341"/>
    </row>
    <row r="443" spans="1:8" ht="15.75">
      <c r="A443" s="9">
        <v>853</v>
      </c>
      <c r="B443" s="10"/>
      <c r="C443" s="11"/>
      <c r="D443" s="12" t="s">
        <v>77</v>
      </c>
      <c r="E443" s="13">
        <f>E444</f>
        <v>264142.02</v>
      </c>
      <c r="F443" s="13">
        <f t="shared" ref="F443:H443" si="106">F444</f>
        <v>0</v>
      </c>
      <c r="G443" s="13">
        <f t="shared" si="106"/>
        <v>0</v>
      </c>
      <c r="H443" s="310">
        <f t="shared" si="106"/>
        <v>264142.02</v>
      </c>
    </row>
    <row r="444" spans="1:8" ht="15.75">
      <c r="A444" s="9"/>
      <c r="B444" s="10">
        <v>85395</v>
      </c>
      <c r="C444" s="11"/>
      <c r="D444" s="12" t="s">
        <v>8</v>
      </c>
      <c r="E444" s="13">
        <f>SUM(E445:E448)</f>
        <v>264142.02</v>
      </c>
      <c r="F444" s="13">
        <f t="shared" ref="F444:H444" si="107">SUM(F445:F448)</f>
        <v>0</v>
      </c>
      <c r="G444" s="13">
        <f t="shared" si="107"/>
        <v>0</v>
      </c>
      <c r="H444" s="310">
        <f t="shared" si="107"/>
        <v>264142.02</v>
      </c>
    </row>
    <row r="445" spans="1:8" ht="63">
      <c r="A445" s="9"/>
      <c r="B445" s="10"/>
      <c r="C445" s="11">
        <v>2360</v>
      </c>
      <c r="D445" s="12" t="s">
        <v>338</v>
      </c>
      <c r="E445" s="13">
        <v>60000</v>
      </c>
      <c r="F445" s="13"/>
      <c r="G445" s="13"/>
      <c r="H445" s="310">
        <f>E445+F445-G445</f>
        <v>60000</v>
      </c>
    </row>
    <row r="446" spans="1:8" ht="15.75">
      <c r="A446" s="9"/>
      <c r="B446" s="10"/>
      <c r="C446" s="11">
        <v>3110</v>
      </c>
      <c r="D446" s="12" t="s">
        <v>161</v>
      </c>
      <c r="E446" s="13">
        <f>4381.37+29091.21</f>
        <v>33472.58</v>
      </c>
      <c r="F446" s="13"/>
      <c r="G446" s="13"/>
      <c r="H446" s="310">
        <f>E446+F446-G446</f>
        <v>33472.58</v>
      </c>
    </row>
    <row r="447" spans="1:8" ht="15.75">
      <c r="A447" s="9"/>
      <c r="B447" s="10"/>
      <c r="C447" s="11">
        <v>4210</v>
      </c>
      <c r="D447" s="12" t="s">
        <v>102</v>
      </c>
      <c r="E447" s="13">
        <f>20000+87.62+581.82</f>
        <v>20669.439999999999</v>
      </c>
      <c r="F447" s="13"/>
      <c r="G447" s="13"/>
      <c r="H447" s="310">
        <f>E447+F447-G447</f>
        <v>20669.439999999999</v>
      </c>
    </row>
    <row r="448" spans="1:8" ht="15.75">
      <c r="A448" s="9"/>
      <c r="B448" s="10"/>
      <c r="C448" s="11">
        <v>4300</v>
      </c>
      <c r="D448" s="12" t="s">
        <v>93</v>
      </c>
      <c r="E448" s="13">
        <v>150000</v>
      </c>
      <c r="F448" s="13"/>
      <c r="G448" s="13"/>
      <c r="H448" s="310">
        <f>E448+F448-G448</f>
        <v>150000</v>
      </c>
    </row>
    <row r="449" spans="1:8" ht="15.75">
      <c r="A449" s="9">
        <v>854</v>
      </c>
      <c r="B449" s="10"/>
      <c r="C449" s="11"/>
      <c r="D449" s="12" t="s">
        <v>78</v>
      </c>
      <c r="E449" s="13">
        <f>E450+E452+E454+E456</f>
        <v>216491</v>
      </c>
      <c r="F449" s="13">
        <f t="shared" ref="F449:H449" si="108">F450+F452+F454+F456</f>
        <v>0</v>
      </c>
      <c r="G449" s="13">
        <f t="shared" si="108"/>
        <v>0</v>
      </c>
      <c r="H449" s="310">
        <f t="shared" si="108"/>
        <v>216491</v>
      </c>
    </row>
    <row r="450" spans="1:8" ht="28.5" customHeight="1">
      <c r="A450" s="9"/>
      <c r="B450" s="10">
        <v>85406</v>
      </c>
      <c r="C450" s="11"/>
      <c r="D450" s="12" t="s">
        <v>162</v>
      </c>
      <c r="E450" s="13">
        <f>SUM(E451)</f>
        <v>60000</v>
      </c>
      <c r="F450" s="13">
        <f t="shared" ref="F450:H450" si="109">SUM(F451)</f>
        <v>0</v>
      </c>
      <c r="G450" s="13">
        <f t="shared" si="109"/>
        <v>0</v>
      </c>
      <c r="H450" s="310">
        <f t="shared" si="109"/>
        <v>60000</v>
      </c>
    </row>
    <row r="451" spans="1:8" ht="47.25">
      <c r="A451" s="9"/>
      <c r="B451" s="10"/>
      <c r="C451" s="11">
        <v>2710</v>
      </c>
      <c r="D451" s="12" t="s">
        <v>106</v>
      </c>
      <c r="E451" s="13">
        <v>60000</v>
      </c>
      <c r="F451" s="13"/>
      <c r="G451" s="13"/>
      <c r="H451" s="310">
        <f>E451+F451-G451</f>
        <v>60000</v>
      </c>
    </row>
    <row r="452" spans="1:8" ht="15.75">
      <c r="A452" s="9"/>
      <c r="B452" s="10">
        <v>85415</v>
      </c>
      <c r="C452" s="11"/>
      <c r="D452" s="12" t="s">
        <v>79</v>
      </c>
      <c r="E452" s="13">
        <f>E453</f>
        <v>21491</v>
      </c>
      <c r="F452" s="13">
        <f t="shared" ref="F452:H452" si="110">F453</f>
        <v>0</v>
      </c>
      <c r="G452" s="13">
        <f t="shared" si="110"/>
        <v>0</v>
      </c>
      <c r="H452" s="310">
        <f t="shared" si="110"/>
        <v>21491</v>
      </c>
    </row>
    <row r="453" spans="1:8" ht="15.75">
      <c r="A453" s="9"/>
      <c r="B453" s="10"/>
      <c r="C453" s="11">
        <v>3240</v>
      </c>
      <c r="D453" s="12" t="s">
        <v>143</v>
      </c>
      <c r="E453" s="13">
        <f>16000+5491</f>
        <v>21491</v>
      </c>
      <c r="F453" s="13"/>
      <c r="G453" s="13"/>
      <c r="H453" s="310">
        <f>E453+F453-G453</f>
        <v>21491</v>
      </c>
    </row>
    <row r="454" spans="1:8" ht="15.75">
      <c r="A454" s="9"/>
      <c r="B454" s="10">
        <v>85416</v>
      </c>
      <c r="C454" s="11"/>
      <c r="D454" s="12" t="s">
        <v>163</v>
      </c>
      <c r="E454" s="13">
        <f>SUM(E455)</f>
        <v>85000</v>
      </c>
      <c r="F454" s="13">
        <f t="shared" ref="F454:G454" si="111">SUM(F455)</f>
        <v>0</v>
      </c>
      <c r="G454" s="13">
        <f t="shared" si="111"/>
        <v>0</v>
      </c>
      <c r="H454" s="310">
        <v>85000</v>
      </c>
    </row>
    <row r="455" spans="1:8" ht="15.75">
      <c r="A455" s="9"/>
      <c r="B455" s="10"/>
      <c r="C455" s="11">
        <v>3260</v>
      </c>
      <c r="D455" s="12" t="s">
        <v>144</v>
      </c>
      <c r="E455" s="13">
        <v>85000</v>
      </c>
      <c r="F455" s="13"/>
      <c r="G455" s="13"/>
      <c r="H455" s="310">
        <f>E455+F455-G455</f>
        <v>85000</v>
      </c>
    </row>
    <row r="456" spans="1:8" ht="15.75">
      <c r="A456" s="9"/>
      <c r="B456" s="10">
        <v>85495</v>
      </c>
      <c r="C456" s="11"/>
      <c r="D456" s="12" t="s">
        <v>8</v>
      </c>
      <c r="E456" s="13">
        <f>SUM(E457)</f>
        <v>50000</v>
      </c>
      <c r="F456" s="13">
        <f t="shared" ref="F456:G456" si="112">SUM(F457)</f>
        <v>0</v>
      </c>
      <c r="G456" s="13">
        <f t="shared" si="112"/>
        <v>0</v>
      </c>
      <c r="H456" s="310">
        <f>SUM(H457)</f>
        <v>50000</v>
      </c>
    </row>
    <row r="457" spans="1:8" ht="63" customHeight="1">
      <c r="A457" s="9"/>
      <c r="B457" s="10"/>
      <c r="C457" s="11">
        <v>2360</v>
      </c>
      <c r="D457" s="12" t="s">
        <v>338</v>
      </c>
      <c r="E457" s="13">
        <v>50000</v>
      </c>
      <c r="F457" s="13"/>
      <c r="G457" s="13"/>
      <c r="H457" s="310">
        <f>E457+F457-G457</f>
        <v>50000</v>
      </c>
    </row>
    <row r="458" spans="1:8" ht="15.75">
      <c r="A458" s="9">
        <v>855</v>
      </c>
      <c r="B458" s="10"/>
      <c r="C458" s="11"/>
      <c r="D458" s="12" t="s">
        <v>80</v>
      </c>
      <c r="E458" s="13">
        <f>+E459+E479+E494+E496+E499+E476</f>
        <v>7393756</v>
      </c>
      <c r="F458" s="13">
        <f t="shared" ref="F458:H458" si="113">+F459+F479+F494+F496+F499+F476</f>
        <v>0</v>
      </c>
      <c r="G458" s="13">
        <f t="shared" si="113"/>
        <v>0</v>
      </c>
      <c r="H458" s="310">
        <f t="shared" si="113"/>
        <v>7393756</v>
      </c>
    </row>
    <row r="459" spans="1:8" ht="46.5" customHeight="1">
      <c r="A459" s="9"/>
      <c r="B459" s="10">
        <v>85502</v>
      </c>
      <c r="C459" s="11"/>
      <c r="D459" s="92" t="s">
        <v>81</v>
      </c>
      <c r="E459" s="13">
        <f>SUM(E460:E474)</f>
        <v>5516142</v>
      </c>
      <c r="F459" s="13">
        <f t="shared" ref="F459:H459" si="114">SUM(F460:F474)</f>
        <v>0</v>
      </c>
      <c r="G459" s="13">
        <f t="shared" si="114"/>
        <v>0</v>
      </c>
      <c r="H459" s="310">
        <f t="shared" si="114"/>
        <v>5516142</v>
      </c>
    </row>
    <row r="460" spans="1:8" ht="15.75">
      <c r="A460" s="9"/>
      <c r="B460" s="10"/>
      <c r="C460" s="11">
        <v>3020</v>
      </c>
      <c r="D460" s="12" t="s">
        <v>119</v>
      </c>
      <c r="E460" s="13">
        <v>1000</v>
      </c>
      <c r="F460" s="13"/>
      <c r="G460" s="13"/>
      <c r="H460" s="310">
        <f>E460+F460-G460</f>
        <v>1000</v>
      </c>
    </row>
    <row r="461" spans="1:8" ht="15.75">
      <c r="A461" s="9"/>
      <c r="B461" s="10"/>
      <c r="C461" s="11">
        <v>3110</v>
      </c>
      <c r="D461" s="12" t="s">
        <v>161</v>
      </c>
      <c r="E461" s="13">
        <v>5355477.67</v>
      </c>
      <c r="F461" s="13"/>
      <c r="G461" s="13"/>
      <c r="H461" s="310">
        <f t="shared" ref="H461:H474" si="115">E461+F461-G461</f>
        <v>5355477.67</v>
      </c>
    </row>
    <row r="462" spans="1:8" ht="15.75">
      <c r="A462" s="9"/>
      <c r="B462" s="10"/>
      <c r="C462" s="11">
        <v>4010</v>
      </c>
      <c r="D462" s="12" t="s">
        <v>116</v>
      </c>
      <c r="E462" s="13">
        <v>78048</v>
      </c>
      <c r="F462" s="13"/>
      <c r="G462" s="13"/>
      <c r="H462" s="310">
        <f t="shared" si="115"/>
        <v>78048</v>
      </c>
    </row>
    <row r="463" spans="1:8" ht="15.75">
      <c r="A463" s="9"/>
      <c r="B463" s="10"/>
      <c r="C463" s="11">
        <v>4040</v>
      </c>
      <c r="D463" s="12" t="s">
        <v>120</v>
      </c>
      <c r="E463" s="13">
        <f>13000-1963</f>
        <v>11037</v>
      </c>
      <c r="F463" s="13"/>
      <c r="G463" s="13"/>
      <c r="H463" s="310">
        <f t="shared" si="115"/>
        <v>11037</v>
      </c>
    </row>
    <row r="464" spans="1:8" ht="15.75">
      <c r="A464" s="9"/>
      <c r="B464" s="10"/>
      <c r="C464" s="11">
        <v>4110</v>
      </c>
      <c r="D464" s="12" t="s">
        <v>99</v>
      </c>
      <c r="E464" s="13">
        <v>14048</v>
      </c>
      <c r="F464" s="13"/>
      <c r="G464" s="13"/>
      <c r="H464" s="310">
        <f t="shared" si="115"/>
        <v>14048</v>
      </c>
    </row>
    <row r="465" spans="1:8" ht="15.75">
      <c r="A465" s="9"/>
      <c r="B465" s="10"/>
      <c r="C465" s="11">
        <v>4120</v>
      </c>
      <c r="D465" s="12" t="s">
        <v>100</v>
      </c>
      <c r="E465" s="13">
        <v>2346.33</v>
      </c>
      <c r="F465" s="13"/>
      <c r="G465" s="13"/>
      <c r="H465" s="310">
        <f t="shared" si="115"/>
        <v>2346.33</v>
      </c>
    </row>
    <row r="466" spans="1:8" ht="15.75">
      <c r="A466" s="9"/>
      <c r="B466" s="10"/>
      <c r="C466" s="11">
        <v>4210</v>
      </c>
      <c r="D466" s="12" t="s">
        <v>102</v>
      </c>
      <c r="E466" s="13">
        <v>5500</v>
      </c>
      <c r="F466" s="13"/>
      <c r="G466" s="13"/>
      <c r="H466" s="310">
        <f t="shared" si="115"/>
        <v>5500</v>
      </c>
    </row>
    <row r="467" spans="1:8" ht="15.75">
      <c r="A467" s="9"/>
      <c r="B467" s="10"/>
      <c r="C467" s="11">
        <v>4280</v>
      </c>
      <c r="D467" s="12" t="s">
        <v>123</v>
      </c>
      <c r="E467" s="13">
        <v>300</v>
      </c>
      <c r="F467" s="13"/>
      <c r="G467" s="13"/>
      <c r="H467" s="310">
        <f t="shared" si="115"/>
        <v>300</v>
      </c>
    </row>
    <row r="468" spans="1:8" ht="15.75">
      <c r="A468" s="9"/>
      <c r="B468" s="10"/>
      <c r="C468" s="11">
        <v>4300</v>
      </c>
      <c r="D468" s="12" t="s">
        <v>93</v>
      </c>
      <c r="E468" s="13">
        <v>15250</v>
      </c>
      <c r="F468" s="13"/>
      <c r="G468" s="13"/>
      <c r="H468" s="310">
        <f t="shared" si="115"/>
        <v>15250</v>
      </c>
    </row>
    <row r="469" spans="1:8" ht="15.75">
      <c r="A469" s="9"/>
      <c r="B469" s="10"/>
      <c r="C469" s="11">
        <v>4360</v>
      </c>
      <c r="D469" s="12" t="s">
        <v>124</v>
      </c>
      <c r="E469" s="13">
        <v>6800</v>
      </c>
      <c r="F469" s="13"/>
      <c r="G469" s="13"/>
      <c r="H469" s="310">
        <f t="shared" si="115"/>
        <v>6800</v>
      </c>
    </row>
    <row r="470" spans="1:8" ht="15.75">
      <c r="A470" s="9"/>
      <c r="B470" s="10"/>
      <c r="C470" s="11">
        <v>4410</v>
      </c>
      <c r="D470" s="12" t="s">
        <v>125</v>
      </c>
      <c r="E470" s="13">
        <v>1500</v>
      </c>
      <c r="F470" s="13"/>
      <c r="G470" s="13"/>
      <c r="H470" s="310">
        <f t="shared" si="115"/>
        <v>1500</v>
      </c>
    </row>
    <row r="471" spans="1:8" ht="15.75">
      <c r="A471" s="9"/>
      <c r="B471" s="10"/>
      <c r="C471" s="11">
        <v>4430</v>
      </c>
      <c r="D471" s="12" t="s">
        <v>95</v>
      </c>
      <c r="E471" s="13">
        <v>16000</v>
      </c>
      <c r="F471" s="13"/>
      <c r="G471" s="13"/>
      <c r="H471" s="310">
        <f t="shared" si="115"/>
        <v>16000</v>
      </c>
    </row>
    <row r="472" spans="1:8" ht="15.75">
      <c r="A472" s="9"/>
      <c r="B472" s="10"/>
      <c r="C472" s="11">
        <v>4440</v>
      </c>
      <c r="D472" s="12" t="s">
        <v>127</v>
      </c>
      <c r="E472" s="13">
        <f>2872+1963</f>
        <v>4835</v>
      </c>
      <c r="F472" s="13"/>
      <c r="G472" s="13"/>
      <c r="H472" s="310">
        <f t="shared" si="115"/>
        <v>4835</v>
      </c>
    </row>
    <row r="473" spans="1:8" ht="28.5" customHeight="1">
      <c r="A473" s="9"/>
      <c r="B473" s="10"/>
      <c r="C473" s="11">
        <v>4700</v>
      </c>
      <c r="D473" s="12" t="s">
        <v>128</v>
      </c>
      <c r="E473" s="13">
        <v>2000</v>
      </c>
      <c r="F473" s="13"/>
      <c r="G473" s="13"/>
      <c r="H473" s="310">
        <f t="shared" si="115"/>
        <v>2000</v>
      </c>
    </row>
    <row r="474" spans="1:8" ht="15.75">
      <c r="A474" s="9"/>
      <c r="B474" s="10"/>
      <c r="C474" s="11">
        <v>4710</v>
      </c>
      <c r="D474" s="12" t="s">
        <v>103</v>
      </c>
      <c r="E474" s="13">
        <v>2000</v>
      </c>
      <c r="F474" s="13"/>
      <c r="G474" s="13"/>
      <c r="H474" s="310">
        <f t="shared" si="115"/>
        <v>2000</v>
      </c>
    </row>
    <row r="475" spans="1:8" ht="15.75">
      <c r="A475" s="62"/>
      <c r="B475" s="63"/>
      <c r="C475" s="64"/>
      <c r="D475" s="12" t="s">
        <v>209</v>
      </c>
      <c r="E475" s="65"/>
      <c r="F475" s="65"/>
      <c r="G475" s="65"/>
      <c r="H475" s="341"/>
    </row>
    <row r="476" spans="1:8" ht="15.75">
      <c r="A476" s="9"/>
      <c r="B476" s="10">
        <v>85503</v>
      </c>
      <c r="C476" s="11"/>
      <c r="D476" s="12" t="s">
        <v>354</v>
      </c>
      <c r="E476" s="13">
        <f>SUM(E477)</f>
        <v>898</v>
      </c>
      <c r="F476" s="13">
        <f>SUM(F477)</f>
        <v>0</v>
      </c>
      <c r="G476" s="13">
        <f>SUM(G477)</f>
        <v>0</v>
      </c>
      <c r="H476" s="310">
        <f>SUM(H477)</f>
        <v>898</v>
      </c>
    </row>
    <row r="477" spans="1:8" ht="15.75">
      <c r="A477" s="9"/>
      <c r="B477" s="10"/>
      <c r="C477" s="11">
        <v>4010</v>
      </c>
      <c r="D477" s="12" t="s">
        <v>116</v>
      </c>
      <c r="E477" s="13">
        <v>898</v>
      </c>
      <c r="F477" s="13"/>
      <c r="G477" s="13"/>
      <c r="H477" s="310">
        <f>E477+F477-G477</f>
        <v>898</v>
      </c>
    </row>
    <row r="478" spans="1:8" ht="15.75">
      <c r="A478" s="9"/>
      <c r="B478" s="10"/>
      <c r="C478" s="11"/>
      <c r="D478" s="12" t="s">
        <v>360</v>
      </c>
      <c r="E478" s="13"/>
      <c r="F478" s="13"/>
      <c r="G478" s="13"/>
      <c r="H478" s="310"/>
    </row>
    <row r="479" spans="1:8" ht="15.75">
      <c r="A479" s="9"/>
      <c r="B479" s="10">
        <v>85504</v>
      </c>
      <c r="C479" s="11"/>
      <c r="D479" s="12" t="s">
        <v>164</v>
      </c>
      <c r="E479" s="13">
        <f>SUM(E480:E493)</f>
        <v>121015</v>
      </c>
      <c r="F479" s="13">
        <f t="shared" ref="F479:H479" si="116">SUM(F480:F493)</f>
        <v>0</v>
      </c>
      <c r="G479" s="13">
        <f t="shared" si="116"/>
        <v>0</v>
      </c>
      <c r="H479" s="310">
        <f t="shared" si="116"/>
        <v>121015</v>
      </c>
    </row>
    <row r="480" spans="1:8" ht="15.75">
      <c r="A480" s="9"/>
      <c r="B480" s="10"/>
      <c r="C480" s="11">
        <v>3020</v>
      </c>
      <c r="D480" s="12" t="s">
        <v>119</v>
      </c>
      <c r="E480" s="13">
        <v>900</v>
      </c>
      <c r="F480" s="13"/>
      <c r="G480" s="13"/>
      <c r="H480" s="310">
        <f>E480+F480-G480</f>
        <v>900</v>
      </c>
    </row>
    <row r="481" spans="1:8" ht="15.75">
      <c r="A481" s="9"/>
      <c r="B481" s="10"/>
      <c r="C481" s="11">
        <v>4010</v>
      </c>
      <c r="D481" s="12" t="s">
        <v>116</v>
      </c>
      <c r="E481" s="13">
        <f>84500-503</f>
        <v>83997</v>
      </c>
      <c r="F481" s="13"/>
      <c r="G481" s="13"/>
      <c r="H481" s="310">
        <f t="shared" ref="H481:H493" si="117">E481+F481-G481</f>
        <v>83997</v>
      </c>
    </row>
    <row r="482" spans="1:8" ht="15.75">
      <c r="A482" s="9"/>
      <c r="B482" s="10"/>
      <c r="C482" s="11">
        <v>4040</v>
      </c>
      <c r="D482" s="12" t="s">
        <v>120</v>
      </c>
      <c r="E482" s="13">
        <v>6000</v>
      </c>
      <c r="F482" s="13"/>
      <c r="G482" s="13"/>
      <c r="H482" s="310">
        <f t="shared" si="117"/>
        <v>6000</v>
      </c>
    </row>
    <row r="483" spans="1:8" ht="15.75">
      <c r="A483" s="9"/>
      <c r="B483" s="10"/>
      <c r="C483" s="11">
        <v>4110</v>
      </c>
      <c r="D483" s="12" t="s">
        <v>99</v>
      </c>
      <c r="E483" s="13">
        <v>13800</v>
      </c>
      <c r="F483" s="13"/>
      <c r="G483" s="13"/>
      <c r="H483" s="310">
        <f t="shared" si="117"/>
        <v>13800</v>
      </c>
    </row>
    <row r="484" spans="1:8" ht="15.75">
      <c r="A484" s="9"/>
      <c r="B484" s="10"/>
      <c r="C484" s="11">
        <v>4120</v>
      </c>
      <c r="D484" s="12" t="s">
        <v>100</v>
      </c>
      <c r="E484" s="13">
        <v>2500</v>
      </c>
      <c r="F484" s="13"/>
      <c r="G484" s="13"/>
      <c r="H484" s="310">
        <f t="shared" si="117"/>
        <v>2500</v>
      </c>
    </row>
    <row r="485" spans="1:8" ht="15.75">
      <c r="A485" s="9"/>
      <c r="B485" s="10"/>
      <c r="C485" s="11">
        <v>4210</v>
      </c>
      <c r="D485" s="12" t="s">
        <v>102</v>
      </c>
      <c r="E485" s="13">
        <v>2000</v>
      </c>
      <c r="F485" s="13"/>
      <c r="G485" s="13"/>
      <c r="H485" s="310">
        <f t="shared" si="117"/>
        <v>2000</v>
      </c>
    </row>
    <row r="486" spans="1:8" ht="15.75">
      <c r="A486" s="9"/>
      <c r="B486" s="10"/>
      <c r="C486" s="11">
        <v>4280</v>
      </c>
      <c r="D486" s="12" t="s">
        <v>123</v>
      </c>
      <c r="E486" s="13">
        <v>300</v>
      </c>
      <c r="F486" s="13"/>
      <c r="G486" s="13"/>
      <c r="H486" s="310">
        <f t="shared" si="117"/>
        <v>300</v>
      </c>
    </row>
    <row r="487" spans="1:8" ht="15.75">
      <c r="A487" s="9"/>
      <c r="B487" s="10"/>
      <c r="C487" s="11">
        <v>4300</v>
      </c>
      <c r="D487" s="12" t="s">
        <v>93</v>
      </c>
      <c r="E487" s="13">
        <v>1900</v>
      </c>
      <c r="F487" s="13"/>
      <c r="G487" s="13"/>
      <c r="H487" s="310">
        <f t="shared" si="117"/>
        <v>1900</v>
      </c>
    </row>
    <row r="488" spans="1:8" ht="15.75">
      <c r="A488" s="9"/>
      <c r="B488" s="10"/>
      <c r="C488" s="11">
        <v>4360</v>
      </c>
      <c r="D488" s="12" t="s">
        <v>124</v>
      </c>
      <c r="E488" s="13">
        <v>1000</v>
      </c>
      <c r="F488" s="13"/>
      <c r="G488" s="13"/>
      <c r="H488" s="310">
        <f t="shared" si="117"/>
        <v>1000</v>
      </c>
    </row>
    <row r="489" spans="1:8" ht="15.75">
      <c r="A489" s="9"/>
      <c r="B489" s="10"/>
      <c r="C489" s="11">
        <v>4410</v>
      </c>
      <c r="D489" s="12" t="s">
        <v>125</v>
      </c>
      <c r="E489" s="13">
        <v>3500</v>
      </c>
      <c r="F489" s="13"/>
      <c r="G489" s="13"/>
      <c r="H489" s="310">
        <f t="shared" si="117"/>
        <v>3500</v>
      </c>
    </row>
    <row r="490" spans="1:8" ht="15.75">
      <c r="A490" s="9"/>
      <c r="B490" s="10"/>
      <c r="C490" s="11">
        <v>4430</v>
      </c>
      <c r="D490" s="12" t="s">
        <v>95</v>
      </c>
      <c r="E490" s="13">
        <v>600</v>
      </c>
      <c r="F490" s="13"/>
      <c r="G490" s="13"/>
      <c r="H490" s="310">
        <f t="shared" si="117"/>
        <v>600</v>
      </c>
    </row>
    <row r="491" spans="1:8" ht="15.75">
      <c r="A491" s="9"/>
      <c r="B491" s="10"/>
      <c r="C491" s="11">
        <v>4440</v>
      </c>
      <c r="D491" s="12" t="s">
        <v>127</v>
      </c>
      <c r="E491" s="13">
        <f>1915+503</f>
        <v>2418</v>
      </c>
      <c r="F491" s="13"/>
      <c r="G491" s="13"/>
      <c r="H491" s="310">
        <f t="shared" si="117"/>
        <v>2418</v>
      </c>
    </row>
    <row r="492" spans="1:8" ht="27" customHeight="1">
      <c r="A492" s="9"/>
      <c r="B492" s="10"/>
      <c r="C492" s="11">
        <v>4700</v>
      </c>
      <c r="D492" s="12" t="s">
        <v>128</v>
      </c>
      <c r="E492" s="13">
        <v>1800</v>
      </c>
      <c r="F492" s="13"/>
      <c r="G492" s="13"/>
      <c r="H492" s="310">
        <f t="shared" si="117"/>
        <v>1800</v>
      </c>
    </row>
    <row r="493" spans="1:8" ht="15.75">
      <c r="A493" s="9"/>
      <c r="B493" s="10"/>
      <c r="C493" s="11">
        <v>4710</v>
      </c>
      <c r="D493" s="12" t="s">
        <v>103</v>
      </c>
      <c r="E493" s="13">
        <v>300</v>
      </c>
      <c r="F493" s="13"/>
      <c r="G493" s="13"/>
      <c r="H493" s="310">
        <f t="shared" si="117"/>
        <v>300</v>
      </c>
    </row>
    <row r="494" spans="1:8" ht="15.75">
      <c r="A494" s="9"/>
      <c r="B494" s="10">
        <v>85508</v>
      </c>
      <c r="C494" s="11"/>
      <c r="D494" s="12" t="s">
        <v>165</v>
      </c>
      <c r="E494" s="13">
        <f>E495</f>
        <v>260000</v>
      </c>
      <c r="F494" s="13">
        <f t="shared" ref="F494:H494" si="118">F495</f>
        <v>0</v>
      </c>
      <c r="G494" s="13">
        <f t="shared" si="118"/>
        <v>0</v>
      </c>
      <c r="H494" s="310">
        <f t="shared" si="118"/>
        <v>260000</v>
      </c>
    </row>
    <row r="495" spans="1:8" ht="28.5" customHeight="1">
      <c r="A495" s="9"/>
      <c r="B495" s="10"/>
      <c r="C495" s="11">
        <v>4330</v>
      </c>
      <c r="D495" s="12" t="s">
        <v>148</v>
      </c>
      <c r="E495" s="13">
        <v>260000</v>
      </c>
      <c r="F495" s="13"/>
      <c r="G495" s="13"/>
      <c r="H495" s="310">
        <f>E495+F495-G495</f>
        <v>260000</v>
      </c>
    </row>
    <row r="496" spans="1:8" ht="47.25">
      <c r="A496" s="9"/>
      <c r="B496" s="10">
        <v>85513</v>
      </c>
      <c r="C496" s="11"/>
      <c r="D496" s="12" t="s">
        <v>82</v>
      </c>
      <c r="E496" s="13">
        <f>E497</f>
        <v>65701</v>
      </c>
      <c r="F496" s="13">
        <f t="shared" ref="F496:H496" si="119">F497</f>
        <v>0</v>
      </c>
      <c r="G496" s="13">
        <f t="shared" si="119"/>
        <v>0</v>
      </c>
      <c r="H496" s="310">
        <f t="shared" si="119"/>
        <v>65701</v>
      </c>
    </row>
    <row r="497" spans="1:8" ht="15.75">
      <c r="A497" s="9"/>
      <c r="B497" s="10"/>
      <c r="C497" s="11">
        <v>4130</v>
      </c>
      <c r="D497" s="12" t="s">
        <v>160</v>
      </c>
      <c r="E497" s="13">
        <v>65701</v>
      </c>
      <c r="F497" s="13"/>
      <c r="G497" s="13"/>
      <c r="H497" s="310">
        <f>E497+F497-G497</f>
        <v>65701</v>
      </c>
    </row>
    <row r="498" spans="1:8" ht="15.75">
      <c r="A498" s="9"/>
      <c r="B498" s="10"/>
      <c r="C498" s="11"/>
      <c r="D498" s="12" t="s">
        <v>206</v>
      </c>
      <c r="E498" s="13"/>
      <c r="F498" s="13"/>
      <c r="G498" s="13"/>
      <c r="H498" s="310"/>
    </row>
    <row r="499" spans="1:8" ht="15.75">
      <c r="A499" s="9"/>
      <c r="B499" s="10">
        <v>85516</v>
      </c>
      <c r="C499" s="11"/>
      <c r="D499" s="12" t="s">
        <v>83</v>
      </c>
      <c r="E499" s="13">
        <f>SUM(E500:E501)</f>
        <v>1430000</v>
      </c>
      <c r="F499" s="13">
        <f t="shared" ref="F499:H499" si="120">SUM(F500:F501)</f>
        <v>0</v>
      </c>
      <c r="G499" s="13">
        <f t="shared" si="120"/>
        <v>0</v>
      </c>
      <c r="H499" s="310">
        <f t="shared" si="120"/>
        <v>1430000</v>
      </c>
    </row>
    <row r="500" spans="1:8" ht="42" customHeight="1">
      <c r="A500" s="9"/>
      <c r="B500" s="10"/>
      <c r="C500" s="11">
        <v>2830</v>
      </c>
      <c r="D500" s="12" t="s">
        <v>166</v>
      </c>
      <c r="E500" s="13">
        <v>1380000</v>
      </c>
      <c r="F500" s="13"/>
      <c r="G500" s="13"/>
      <c r="H500" s="310">
        <f>E500+F500-G500</f>
        <v>1380000</v>
      </c>
    </row>
    <row r="501" spans="1:8" ht="31.5">
      <c r="A501" s="9"/>
      <c r="B501" s="10"/>
      <c r="C501" s="11">
        <v>4330</v>
      </c>
      <c r="D501" s="12" t="s">
        <v>148</v>
      </c>
      <c r="E501" s="13">
        <v>50000</v>
      </c>
      <c r="F501" s="13"/>
      <c r="G501" s="13"/>
      <c r="H501" s="310">
        <f>E501+F501-G501</f>
        <v>50000</v>
      </c>
    </row>
    <row r="502" spans="1:8" ht="15.75">
      <c r="A502" s="9">
        <v>900</v>
      </c>
      <c r="B502" s="10"/>
      <c r="C502" s="11"/>
      <c r="D502" s="12" t="s">
        <v>84</v>
      </c>
      <c r="E502" s="13">
        <f>E503+E508+E511+E514+E520+E522+E526+E532+E535</f>
        <v>6682860</v>
      </c>
      <c r="F502" s="13">
        <f t="shared" ref="F502:H502" si="121">F503+F508+F511+F514+F520+F522+F526+F532+F535</f>
        <v>1754680</v>
      </c>
      <c r="G502" s="13">
        <f t="shared" si="121"/>
        <v>213</v>
      </c>
      <c r="H502" s="13">
        <f t="shared" si="121"/>
        <v>8437327</v>
      </c>
    </row>
    <row r="503" spans="1:8" ht="15.75">
      <c r="A503" s="9"/>
      <c r="B503" s="10">
        <v>90001</v>
      </c>
      <c r="C503" s="11"/>
      <c r="D503" s="12" t="s">
        <v>85</v>
      </c>
      <c r="E503" s="13">
        <f>SUM(E504:E507)</f>
        <v>228000</v>
      </c>
      <c r="F503" s="13">
        <f t="shared" ref="F503:H503" si="122">SUM(F504:F507)</f>
        <v>0</v>
      </c>
      <c r="G503" s="13">
        <f t="shared" si="122"/>
        <v>0</v>
      </c>
      <c r="H503" s="310">
        <f t="shared" si="122"/>
        <v>228000</v>
      </c>
    </row>
    <row r="504" spans="1:8" ht="15.75">
      <c r="A504" s="9"/>
      <c r="B504" s="10"/>
      <c r="C504" s="11">
        <v>4260</v>
      </c>
      <c r="D504" s="12" t="s">
        <v>111</v>
      </c>
      <c r="E504" s="13">
        <v>3000</v>
      </c>
      <c r="F504" s="13"/>
      <c r="G504" s="13"/>
      <c r="H504" s="310">
        <f>E504+F504-G504</f>
        <v>3000</v>
      </c>
    </row>
    <row r="505" spans="1:8" ht="15.75">
      <c r="A505" s="9"/>
      <c r="B505" s="10"/>
      <c r="C505" s="11">
        <v>4300</v>
      </c>
      <c r="D505" s="12" t="s">
        <v>93</v>
      </c>
      <c r="E505" s="13">
        <v>40000</v>
      </c>
      <c r="F505" s="13"/>
      <c r="G505" s="13"/>
      <c r="H505" s="310">
        <f t="shared" ref="H505:H507" si="123">E505+F505-G505</f>
        <v>40000</v>
      </c>
    </row>
    <row r="506" spans="1:8" ht="15.75">
      <c r="A506" s="9"/>
      <c r="B506" s="10"/>
      <c r="C506" s="11">
        <v>4430</v>
      </c>
      <c r="D506" s="12" t="s">
        <v>95</v>
      </c>
      <c r="E506" s="13">
        <v>5000</v>
      </c>
      <c r="F506" s="13"/>
      <c r="G506" s="13"/>
      <c r="H506" s="310">
        <f t="shared" si="123"/>
        <v>5000</v>
      </c>
    </row>
    <row r="507" spans="1:8" ht="58.5" customHeight="1">
      <c r="A507" s="9"/>
      <c r="B507" s="10"/>
      <c r="C507" s="11">
        <v>6230</v>
      </c>
      <c r="D507" s="12" t="s">
        <v>168</v>
      </c>
      <c r="E507" s="13">
        <v>180000</v>
      </c>
      <c r="F507" s="13"/>
      <c r="G507" s="13"/>
      <c r="H507" s="310">
        <f t="shared" si="123"/>
        <v>180000</v>
      </c>
    </row>
    <row r="508" spans="1:8" ht="15.75">
      <c r="A508" s="9"/>
      <c r="B508" s="10">
        <v>90003</v>
      </c>
      <c r="C508" s="11"/>
      <c r="D508" s="12" t="s">
        <v>167</v>
      </c>
      <c r="E508" s="13">
        <f>SUM(E509:E510)</f>
        <v>673260</v>
      </c>
      <c r="F508" s="13">
        <f t="shared" ref="F508:H508" si="124">SUM(F509:F510)</f>
        <v>0</v>
      </c>
      <c r="G508" s="13">
        <f t="shared" si="124"/>
        <v>0</v>
      </c>
      <c r="H508" s="310">
        <f t="shared" si="124"/>
        <v>673260</v>
      </c>
    </row>
    <row r="509" spans="1:8" ht="15.75">
      <c r="A509" s="9"/>
      <c r="B509" s="10"/>
      <c r="C509" s="11">
        <v>4210</v>
      </c>
      <c r="D509" s="12" t="s">
        <v>102</v>
      </c>
      <c r="E509" s="13">
        <f>25000+3000-740</f>
        <v>27260</v>
      </c>
      <c r="F509" s="13"/>
      <c r="G509" s="13"/>
      <c r="H509" s="310">
        <f>E509+F509-G509</f>
        <v>27260</v>
      </c>
    </row>
    <row r="510" spans="1:8" ht="15.75">
      <c r="A510" s="9"/>
      <c r="B510" s="10"/>
      <c r="C510" s="11">
        <v>4300</v>
      </c>
      <c r="D510" s="12" t="s">
        <v>93</v>
      </c>
      <c r="E510" s="13">
        <f>615000+30000+1000</f>
        <v>646000</v>
      </c>
      <c r="F510" s="13"/>
      <c r="G510" s="13"/>
      <c r="H510" s="310">
        <f>E510+F510-G510</f>
        <v>646000</v>
      </c>
    </row>
    <row r="511" spans="1:8" ht="15.75">
      <c r="A511" s="9"/>
      <c r="B511" s="10">
        <v>90004</v>
      </c>
      <c r="C511" s="11"/>
      <c r="D511" s="12" t="s">
        <v>86</v>
      </c>
      <c r="E511" s="13">
        <f>SUM(E512:E513)</f>
        <v>828500</v>
      </c>
      <c r="F511" s="13">
        <f t="shared" ref="F511:H511" si="125">SUM(F512:F513)</f>
        <v>5000</v>
      </c>
      <c r="G511" s="13">
        <f t="shared" si="125"/>
        <v>213</v>
      </c>
      <c r="H511" s="310">
        <f t="shared" si="125"/>
        <v>833287</v>
      </c>
    </row>
    <row r="512" spans="1:8" ht="15.75">
      <c r="A512" s="9"/>
      <c r="B512" s="10"/>
      <c r="C512" s="11">
        <v>4210</v>
      </c>
      <c r="D512" s="12" t="s">
        <v>102</v>
      </c>
      <c r="E512" s="13">
        <f>36000+4000</f>
        <v>40000</v>
      </c>
      <c r="F512" s="13">
        <v>5000</v>
      </c>
      <c r="G512" s="13">
        <v>213</v>
      </c>
      <c r="H512" s="310">
        <f>E512+F512-G512</f>
        <v>44787</v>
      </c>
    </row>
    <row r="513" spans="1:8" ht="15.75">
      <c r="A513" s="9"/>
      <c r="B513" s="10"/>
      <c r="C513" s="11">
        <v>4300</v>
      </c>
      <c r="D513" s="12" t="s">
        <v>93</v>
      </c>
      <c r="E513" s="13">
        <f>780000+8500</f>
        <v>788500</v>
      </c>
      <c r="F513" s="13"/>
      <c r="G513" s="13"/>
      <c r="H513" s="310">
        <f>E513+F513-G513</f>
        <v>788500</v>
      </c>
    </row>
    <row r="514" spans="1:8" ht="15.75">
      <c r="A514" s="62"/>
      <c r="B514" s="10">
        <v>90005</v>
      </c>
      <c r="C514" s="11"/>
      <c r="D514" s="12" t="s">
        <v>87</v>
      </c>
      <c r="E514" s="13">
        <f>SUM(E515:E519)</f>
        <v>306500</v>
      </c>
      <c r="F514" s="13">
        <f t="shared" ref="F514:H514" si="126">SUM(F515:F519)</f>
        <v>56000</v>
      </c>
      <c r="G514" s="13">
        <f t="shared" si="126"/>
        <v>0</v>
      </c>
      <c r="H514" s="310">
        <f t="shared" si="126"/>
        <v>362500</v>
      </c>
    </row>
    <row r="515" spans="1:8" ht="15.75">
      <c r="A515" s="62"/>
      <c r="B515" s="10"/>
      <c r="C515" s="11">
        <v>4110</v>
      </c>
      <c r="D515" s="12" t="s">
        <v>99</v>
      </c>
      <c r="E515" s="13">
        <f>2000+3000</f>
        <v>5000</v>
      </c>
      <c r="F515" s="13"/>
      <c r="G515" s="13"/>
      <c r="H515" s="310">
        <f>E515+F515-G515</f>
        <v>5000</v>
      </c>
    </row>
    <row r="516" spans="1:8" ht="15.75">
      <c r="A516" s="62"/>
      <c r="B516" s="10"/>
      <c r="C516" s="11">
        <v>4120</v>
      </c>
      <c r="D516" s="12" t="s">
        <v>100</v>
      </c>
      <c r="E516" s="13">
        <v>1500</v>
      </c>
      <c r="F516" s="13"/>
      <c r="G516" s="13"/>
      <c r="H516" s="310">
        <f t="shared" ref="H516:H519" si="127">E516+F516-G516</f>
        <v>1500</v>
      </c>
    </row>
    <row r="517" spans="1:8" ht="15.75">
      <c r="A517" s="62"/>
      <c r="B517" s="10"/>
      <c r="C517" s="11">
        <v>4170</v>
      </c>
      <c r="D517" s="12" t="s">
        <v>101</v>
      </c>
      <c r="E517" s="13">
        <f>15000+15000</f>
        <v>30000</v>
      </c>
      <c r="F517" s="13"/>
      <c r="G517" s="13"/>
      <c r="H517" s="310">
        <f t="shared" si="127"/>
        <v>30000</v>
      </c>
    </row>
    <row r="518" spans="1:8" ht="15.75">
      <c r="A518" s="9"/>
      <c r="B518" s="10"/>
      <c r="C518" s="11">
        <v>4300</v>
      </c>
      <c r="D518" s="12" t="s">
        <v>93</v>
      </c>
      <c r="E518" s="13">
        <f>30000+20000</f>
        <v>50000</v>
      </c>
      <c r="F518" s="13"/>
      <c r="G518" s="13"/>
      <c r="H518" s="310">
        <f t="shared" si="127"/>
        <v>50000</v>
      </c>
    </row>
    <row r="519" spans="1:8" ht="60" customHeight="1">
      <c r="A519" s="62"/>
      <c r="B519" s="63"/>
      <c r="C519" s="11">
        <v>6230</v>
      </c>
      <c r="D519" s="12" t="s">
        <v>168</v>
      </c>
      <c r="E519" s="13">
        <f>400000-180000</f>
        <v>220000</v>
      </c>
      <c r="F519" s="13">
        <v>56000</v>
      </c>
      <c r="G519" s="13"/>
      <c r="H519" s="310">
        <f t="shared" si="127"/>
        <v>276000</v>
      </c>
    </row>
    <row r="520" spans="1:8" ht="15.75">
      <c r="A520" s="9"/>
      <c r="B520" s="10">
        <v>90008</v>
      </c>
      <c r="C520" s="11"/>
      <c r="D520" s="12" t="s">
        <v>169</v>
      </c>
      <c r="E520" s="13">
        <f>SUM(E521)</f>
        <v>5000</v>
      </c>
      <c r="F520" s="13">
        <f t="shared" ref="F520:G520" si="128">SUM(F521)</f>
        <v>0</v>
      </c>
      <c r="G520" s="13">
        <f t="shared" si="128"/>
        <v>0</v>
      </c>
      <c r="H520" s="310">
        <v>5000</v>
      </c>
    </row>
    <row r="521" spans="1:8" ht="15.75">
      <c r="A521" s="9"/>
      <c r="B521" s="10"/>
      <c r="C521" s="11">
        <v>4210</v>
      </c>
      <c r="D521" s="12" t="s">
        <v>102</v>
      </c>
      <c r="E521" s="13">
        <v>5000</v>
      </c>
      <c r="F521" s="13"/>
      <c r="G521" s="13"/>
      <c r="H521" s="310">
        <f>E521+F521-G521</f>
        <v>5000</v>
      </c>
    </row>
    <row r="522" spans="1:8" ht="15.75">
      <c r="A522" s="9"/>
      <c r="B522" s="10">
        <v>90013</v>
      </c>
      <c r="C522" s="11"/>
      <c r="D522" s="12" t="s">
        <v>170</v>
      </c>
      <c r="E522" s="13">
        <f>SUM(E523:E525)</f>
        <v>542000</v>
      </c>
      <c r="F522" s="13">
        <f t="shared" ref="F522:H522" si="129">SUM(F523:F525)</f>
        <v>0</v>
      </c>
      <c r="G522" s="13">
        <f t="shared" si="129"/>
        <v>0</v>
      </c>
      <c r="H522" s="310">
        <f t="shared" si="129"/>
        <v>542000</v>
      </c>
    </row>
    <row r="523" spans="1:8" ht="63">
      <c r="A523" s="9"/>
      <c r="B523" s="10"/>
      <c r="C523" s="11">
        <v>2900</v>
      </c>
      <c r="D523" s="12" t="s">
        <v>171</v>
      </c>
      <c r="E523" s="13">
        <v>355000</v>
      </c>
      <c r="F523" s="13"/>
      <c r="G523" s="13"/>
      <c r="H523" s="310">
        <f>E523+F523-G523</f>
        <v>355000</v>
      </c>
    </row>
    <row r="524" spans="1:8" ht="15.75">
      <c r="A524" s="9"/>
      <c r="B524" s="10"/>
      <c r="C524" s="11">
        <v>4210</v>
      </c>
      <c r="D524" s="12" t="s">
        <v>102</v>
      </c>
      <c r="E524" s="13">
        <v>7000</v>
      </c>
      <c r="F524" s="13"/>
      <c r="G524" s="13"/>
      <c r="H524" s="310">
        <f t="shared" ref="H524:H525" si="130">E524+F524-G524</f>
        <v>7000</v>
      </c>
    </row>
    <row r="525" spans="1:8" ht="15.75">
      <c r="A525" s="9"/>
      <c r="B525" s="10"/>
      <c r="C525" s="11">
        <v>4300</v>
      </c>
      <c r="D525" s="12" t="s">
        <v>93</v>
      </c>
      <c r="E525" s="13">
        <v>180000</v>
      </c>
      <c r="F525" s="13"/>
      <c r="G525" s="13"/>
      <c r="H525" s="310">
        <f t="shared" si="130"/>
        <v>180000</v>
      </c>
    </row>
    <row r="526" spans="1:8" ht="15.75">
      <c r="A526" s="9"/>
      <c r="B526" s="10">
        <v>90015</v>
      </c>
      <c r="C526" s="11"/>
      <c r="D526" s="12" t="s">
        <v>172</v>
      </c>
      <c r="E526" s="13">
        <f>SUM(E527:E531)</f>
        <v>3750000</v>
      </c>
      <c r="F526" s="13">
        <f t="shared" ref="F526:H526" si="131">SUM(F527:F531)</f>
        <v>1593680</v>
      </c>
      <c r="G526" s="13">
        <f t="shared" si="131"/>
        <v>0</v>
      </c>
      <c r="H526" s="13">
        <f t="shared" si="131"/>
        <v>5343680</v>
      </c>
    </row>
    <row r="527" spans="1:8" ht="15.75">
      <c r="A527" s="9"/>
      <c r="B527" s="10"/>
      <c r="C527" s="11">
        <v>4260</v>
      </c>
      <c r="D527" s="12" t="s">
        <v>111</v>
      </c>
      <c r="E527" s="13">
        <v>1700000</v>
      </c>
      <c r="F527" s="13">
        <v>200000</v>
      </c>
      <c r="G527" s="13"/>
      <c r="H527" s="310">
        <f>E527+F527-G527</f>
        <v>1900000</v>
      </c>
    </row>
    <row r="528" spans="1:8" ht="15.75">
      <c r="A528" s="9"/>
      <c r="B528" s="10"/>
      <c r="C528" s="11">
        <v>4270</v>
      </c>
      <c r="D528" s="12" t="s">
        <v>110</v>
      </c>
      <c r="E528" s="13">
        <v>950000</v>
      </c>
      <c r="F528" s="13"/>
      <c r="G528" s="13"/>
      <c r="H528" s="310">
        <f t="shared" ref="H528:H531" si="132">E528+F528-G528</f>
        <v>950000</v>
      </c>
    </row>
    <row r="529" spans="1:8" ht="15.75">
      <c r="A529" s="9"/>
      <c r="B529" s="10"/>
      <c r="C529" s="11">
        <v>4300</v>
      </c>
      <c r="D529" s="12" t="s">
        <v>93</v>
      </c>
      <c r="E529" s="13">
        <v>100000</v>
      </c>
      <c r="F529" s="13">
        <v>50000</v>
      </c>
      <c r="G529" s="13"/>
      <c r="H529" s="310">
        <f t="shared" si="132"/>
        <v>150000</v>
      </c>
    </row>
    <row r="530" spans="1:8" ht="15.75">
      <c r="A530" s="9"/>
      <c r="B530" s="10"/>
      <c r="C530" s="11">
        <v>6050</v>
      </c>
      <c r="D530" s="12" t="s">
        <v>98</v>
      </c>
      <c r="E530" s="13">
        <v>1000000</v>
      </c>
      <c r="F530" s="13"/>
      <c r="G530" s="13"/>
      <c r="H530" s="310">
        <f t="shared" si="132"/>
        <v>1000000</v>
      </c>
    </row>
    <row r="531" spans="1:8" ht="47.25">
      <c r="A531" s="9"/>
      <c r="B531" s="10"/>
      <c r="C531" s="86">
        <v>6370</v>
      </c>
      <c r="D531" s="87" t="s">
        <v>218</v>
      </c>
      <c r="E531" s="13"/>
      <c r="F531" s="13">
        <v>1343680</v>
      </c>
      <c r="G531" s="13"/>
      <c r="H531" s="310">
        <f t="shared" si="132"/>
        <v>1343680</v>
      </c>
    </row>
    <row r="532" spans="1:8" ht="15.75">
      <c r="A532" s="9"/>
      <c r="B532" s="10">
        <v>90026</v>
      </c>
      <c r="C532" s="11"/>
      <c r="D532" s="12" t="s">
        <v>173</v>
      </c>
      <c r="E532" s="13">
        <f>SUM(E533:E534)</f>
        <v>110000</v>
      </c>
      <c r="F532" s="13">
        <f t="shared" ref="F532:H532" si="133">SUM(F533:F534)</f>
        <v>0</v>
      </c>
      <c r="G532" s="13">
        <f t="shared" si="133"/>
        <v>0</v>
      </c>
      <c r="H532" s="310">
        <f t="shared" si="133"/>
        <v>110000</v>
      </c>
    </row>
    <row r="533" spans="1:8" ht="44.25" customHeight="1">
      <c r="A533" s="9"/>
      <c r="B533" s="10"/>
      <c r="C533" s="11">
        <v>2320</v>
      </c>
      <c r="D533" s="12" t="s">
        <v>174</v>
      </c>
      <c r="E533" s="13">
        <v>30000</v>
      </c>
      <c r="F533" s="13"/>
      <c r="G533" s="13"/>
      <c r="H533" s="310">
        <f>E533+F533-G533</f>
        <v>30000</v>
      </c>
    </row>
    <row r="534" spans="1:8" ht="59.25" customHeight="1">
      <c r="A534" s="62"/>
      <c r="B534" s="63"/>
      <c r="C534" s="11">
        <v>2900</v>
      </c>
      <c r="D534" s="12" t="s">
        <v>171</v>
      </c>
      <c r="E534" s="13">
        <v>80000</v>
      </c>
      <c r="F534" s="13"/>
      <c r="G534" s="13"/>
      <c r="H534" s="310">
        <f>E534+F534-G534</f>
        <v>80000</v>
      </c>
    </row>
    <row r="535" spans="1:8" ht="15.75">
      <c r="A535" s="9"/>
      <c r="B535" s="10">
        <v>90095</v>
      </c>
      <c r="C535" s="11"/>
      <c r="D535" s="12" t="s">
        <v>8</v>
      </c>
      <c r="E535" s="13">
        <f>SUM(E536:E538)</f>
        <v>239600</v>
      </c>
      <c r="F535" s="13">
        <f t="shared" ref="F535:H535" si="134">SUM(F536:F538)</f>
        <v>100000</v>
      </c>
      <c r="G535" s="13">
        <f t="shared" si="134"/>
        <v>0</v>
      </c>
      <c r="H535" s="310">
        <f t="shared" si="134"/>
        <v>339600</v>
      </c>
    </row>
    <row r="536" spans="1:8" ht="60" customHeight="1">
      <c r="A536" s="9"/>
      <c r="B536" s="10"/>
      <c r="C536" s="11">
        <v>2360</v>
      </c>
      <c r="D536" s="12" t="s">
        <v>338</v>
      </c>
      <c r="E536" s="13">
        <v>6000</v>
      </c>
      <c r="F536" s="13"/>
      <c r="G536" s="13"/>
      <c r="H536" s="310">
        <f>E536+F536-G536</f>
        <v>6000</v>
      </c>
    </row>
    <row r="537" spans="1:8" ht="15.75">
      <c r="A537" s="9"/>
      <c r="B537" s="10"/>
      <c r="C537" s="11">
        <v>4300</v>
      </c>
      <c r="D537" s="12" t="s">
        <v>93</v>
      </c>
      <c r="E537" s="13">
        <v>170000</v>
      </c>
      <c r="F537" s="13">
        <v>100000</v>
      </c>
      <c r="G537" s="13"/>
      <c r="H537" s="310">
        <f>E537+F537-G537</f>
        <v>270000</v>
      </c>
    </row>
    <row r="538" spans="1:8" ht="15.75">
      <c r="A538" s="9"/>
      <c r="B538" s="10"/>
      <c r="C538" s="11">
        <v>4430</v>
      </c>
      <c r="D538" s="12" t="s">
        <v>95</v>
      </c>
      <c r="E538" s="13">
        <v>63600</v>
      </c>
      <c r="F538" s="13"/>
      <c r="G538" s="13"/>
      <c r="H538" s="310">
        <f>E538+F538-G538</f>
        <v>63600</v>
      </c>
    </row>
    <row r="539" spans="1:8" ht="15.75">
      <c r="A539" s="9">
        <v>921</v>
      </c>
      <c r="B539" s="10"/>
      <c r="C539" s="11"/>
      <c r="D539" s="12" t="s">
        <v>175</v>
      </c>
      <c r="E539" s="13">
        <f>E540+E545+E553+E556</f>
        <v>13163522</v>
      </c>
      <c r="F539" s="13">
        <f t="shared" ref="F539:H539" si="135">F540+F545+F553+F556</f>
        <v>123482.65</v>
      </c>
      <c r="G539" s="13">
        <f t="shared" si="135"/>
        <v>134489</v>
      </c>
      <c r="H539" s="310">
        <f t="shared" si="135"/>
        <v>13152515.65</v>
      </c>
    </row>
    <row r="540" spans="1:8" ht="15.75">
      <c r="A540" s="9"/>
      <c r="B540" s="10">
        <v>92105</v>
      </c>
      <c r="C540" s="11"/>
      <c r="D540" s="12" t="s">
        <v>176</v>
      </c>
      <c r="E540" s="13">
        <f>SUM(E541:E544)</f>
        <v>269240</v>
      </c>
      <c r="F540" s="13">
        <f t="shared" ref="F540:H540" si="136">SUM(F541:F544)</f>
        <v>10432</v>
      </c>
      <c r="G540" s="13">
        <f t="shared" si="136"/>
        <v>4489</v>
      </c>
      <c r="H540" s="310">
        <f t="shared" si="136"/>
        <v>275183</v>
      </c>
    </row>
    <row r="541" spans="1:8" ht="60" customHeight="1">
      <c r="A541" s="9"/>
      <c r="B541" s="10"/>
      <c r="C541" s="11">
        <v>2360</v>
      </c>
      <c r="D541" s="12" t="s">
        <v>338</v>
      </c>
      <c r="E541" s="13">
        <v>10000</v>
      </c>
      <c r="F541" s="13"/>
      <c r="G541" s="13"/>
      <c r="H541" s="310">
        <f>E541+F541-G541</f>
        <v>10000</v>
      </c>
    </row>
    <row r="542" spans="1:8" ht="15.75">
      <c r="A542" s="9"/>
      <c r="B542" s="10"/>
      <c r="C542" s="11">
        <v>4170</v>
      </c>
      <c r="D542" s="12" t="s">
        <v>101</v>
      </c>
      <c r="E542" s="13">
        <f>15000+740</f>
        <v>15740</v>
      </c>
      <c r="F542" s="13"/>
      <c r="G542" s="13"/>
      <c r="H542" s="310">
        <f>E542+F542-G542</f>
        <v>15740</v>
      </c>
    </row>
    <row r="543" spans="1:8" ht="15.75">
      <c r="A543" s="9"/>
      <c r="B543" s="10"/>
      <c r="C543" s="11">
        <v>4210</v>
      </c>
      <c r="D543" s="12" t="s">
        <v>102</v>
      </c>
      <c r="E543" s="13">
        <f>50000+23500</f>
        <v>73500</v>
      </c>
      <c r="F543" s="13">
        <v>5432</v>
      </c>
      <c r="G543" s="13"/>
      <c r="H543" s="310">
        <f t="shared" ref="H543:H544" si="137">E543+F543-G543</f>
        <v>78932</v>
      </c>
    </row>
    <row r="544" spans="1:8" ht="15.75">
      <c r="A544" s="9"/>
      <c r="B544" s="10"/>
      <c r="C544" s="11">
        <v>4300</v>
      </c>
      <c r="D544" s="12" t="s">
        <v>93</v>
      </c>
      <c r="E544" s="13">
        <f>130000+40000</f>
        <v>170000</v>
      </c>
      <c r="F544" s="13">
        <v>5000</v>
      </c>
      <c r="G544" s="13">
        <v>4489</v>
      </c>
      <c r="H544" s="310">
        <f t="shared" si="137"/>
        <v>170511</v>
      </c>
    </row>
    <row r="545" spans="1:8" ht="15.75">
      <c r="A545" s="9"/>
      <c r="B545" s="10">
        <v>92109</v>
      </c>
      <c r="C545" s="11"/>
      <c r="D545" s="12" t="s">
        <v>177</v>
      </c>
      <c r="E545" s="13">
        <f>SUM(E546:E552)</f>
        <v>6908500</v>
      </c>
      <c r="F545" s="13">
        <f t="shared" ref="F545:H545" si="138">SUM(F546:F552)</f>
        <v>13050.65</v>
      </c>
      <c r="G545" s="13">
        <f t="shared" si="138"/>
        <v>130000</v>
      </c>
      <c r="H545" s="310">
        <f t="shared" si="138"/>
        <v>6791550.6500000004</v>
      </c>
    </row>
    <row r="546" spans="1:8" ht="26.25" customHeight="1">
      <c r="A546" s="9"/>
      <c r="B546" s="10"/>
      <c r="C546" s="11">
        <v>2480</v>
      </c>
      <c r="D546" s="12" t="s">
        <v>178</v>
      </c>
      <c r="E546" s="13">
        <f>4500000-200000+100000+365000</f>
        <v>4765000</v>
      </c>
      <c r="F546" s="13"/>
      <c r="G546" s="13"/>
      <c r="H546" s="310">
        <f>E546+F546-G546</f>
        <v>4765000</v>
      </c>
    </row>
    <row r="547" spans="1:8" ht="15.75">
      <c r="A547" s="9"/>
      <c r="B547" s="10"/>
      <c r="C547" s="11">
        <v>4210</v>
      </c>
      <c r="D547" s="12" t="s">
        <v>102</v>
      </c>
      <c r="E547" s="13">
        <f>10000+19500</f>
        <v>29500</v>
      </c>
      <c r="F547" s="13">
        <v>5429</v>
      </c>
      <c r="G547" s="13"/>
      <c r="H547" s="310">
        <f t="shared" ref="H547:H552" si="139">E547+F547-G547</f>
        <v>34929</v>
      </c>
    </row>
    <row r="548" spans="1:8" ht="15.75">
      <c r="A548" s="9"/>
      <c r="B548" s="10"/>
      <c r="C548" s="11">
        <v>4270</v>
      </c>
      <c r="D548" s="12" t="s">
        <v>110</v>
      </c>
      <c r="E548" s="13">
        <v>200000</v>
      </c>
      <c r="F548" s="13"/>
      <c r="G548" s="13"/>
      <c r="H548" s="310">
        <f t="shared" si="139"/>
        <v>200000</v>
      </c>
    </row>
    <row r="549" spans="1:8" ht="15.75">
      <c r="A549" s="9"/>
      <c r="B549" s="10"/>
      <c r="C549" s="11">
        <v>4300</v>
      </c>
      <c r="D549" s="12" t="s">
        <v>93</v>
      </c>
      <c r="E549" s="13">
        <f>50000+19000</f>
        <v>69000</v>
      </c>
      <c r="F549" s="13">
        <v>7621</v>
      </c>
      <c r="G549" s="13"/>
      <c r="H549" s="310">
        <f t="shared" si="139"/>
        <v>76621</v>
      </c>
    </row>
    <row r="550" spans="1:8" ht="15.75">
      <c r="A550" s="9"/>
      <c r="B550" s="10"/>
      <c r="C550" s="11">
        <v>4430</v>
      </c>
      <c r="D550" s="12" t="s">
        <v>95</v>
      </c>
      <c r="E550" s="13">
        <v>15000</v>
      </c>
      <c r="F550" s="13"/>
      <c r="G550" s="13"/>
      <c r="H550" s="310">
        <f t="shared" si="139"/>
        <v>15000</v>
      </c>
    </row>
    <row r="551" spans="1:8" ht="15.75">
      <c r="A551" s="9"/>
      <c r="B551" s="10"/>
      <c r="C551" s="11">
        <v>6050</v>
      </c>
      <c r="D551" s="12" t="s">
        <v>98</v>
      </c>
      <c r="E551" s="13">
        <f>200000+630000</f>
        <v>830000</v>
      </c>
      <c r="F551" s="13"/>
      <c r="G551" s="13">
        <v>130000</v>
      </c>
      <c r="H551" s="310">
        <f t="shared" si="139"/>
        <v>700000</v>
      </c>
    </row>
    <row r="552" spans="1:8" ht="47.25">
      <c r="A552" s="9"/>
      <c r="B552" s="10"/>
      <c r="C552" s="86">
        <v>6370</v>
      </c>
      <c r="D552" s="87" t="s">
        <v>218</v>
      </c>
      <c r="E552" s="13">
        <v>1000000</v>
      </c>
      <c r="F552" s="13">
        <v>0.65</v>
      </c>
      <c r="G552" s="13"/>
      <c r="H552" s="310">
        <f t="shared" si="139"/>
        <v>1000000.65</v>
      </c>
    </row>
    <row r="553" spans="1:8" ht="15.75">
      <c r="A553" s="9"/>
      <c r="B553" s="10">
        <v>92116</v>
      </c>
      <c r="C553" s="11"/>
      <c r="D553" s="12" t="s">
        <v>179</v>
      </c>
      <c r="E553" s="13">
        <f>SUM(E554:E555)</f>
        <v>1998182</v>
      </c>
      <c r="F553" s="13">
        <f t="shared" ref="F553:H553" si="140">SUM(F554:F555)</f>
        <v>0</v>
      </c>
      <c r="G553" s="13">
        <f t="shared" si="140"/>
        <v>0</v>
      </c>
      <c r="H553" s="310">
        <f t="shared" si="140"/>
        <v>1998182</v>
      </c>
    </row>
    <row r="554" spans="1:8" ht="28.5" customHeight="1">
      <c r="A554" s="9"/>
      <c r="B554" s="10"/>
      <c r="C554" s="11">
        <v>2480</v>
      </c>
      <c r="D554" s="12" t="s">
        <v>178</v>
      </c>
      <c r="E554" s="13">
        <f>1673182+135000</f>
        <v>1808182</v>
      </c>
      <c r="F554" s="13"/>
      <c r="G554" s="13"/>
      <c r="H554" s="310">
        <f>E554+F554-G554</f>
        <v>1808182</v>
      </c>
    </row>
    <row r="555" spans="1:8" ht="31.5">
      <c r="A555" s="9"/>
      <c r="B555" s="10"/>
      <c r="C555" s="11">
        <v>2800</v>
      </c>
      <c r="D555" s="12" t="s">
        <v>361</v>
      </c>
      <c r="E555" s="13">
        <v>190000</v>
      </c>
      <c r="F555" s="13"/>
      <c r="G555" s="13"/>
      <c r="H555" s="310">
        <f>E555+F555-G555</f>
        <v>190000</v>
      </c>
    </row>
    <row r="556" spans="1:8" ht="15.75">
      <c r="A556" s="9"/>
      <c r="B556" s="10">
        <v>92120</v>
      </c>
      <c r="C556" s="11"/>
      <c r="D556" s="12" t="s">
        <v>180</v>
      </c>
      <c r="E556" s="13">
        <f>SUM(E557:E562)</f>
        <v>3987600</v>
      </c>
      <c r="F556" s="13">
        <f t="shared" ref="F556:H556" si="141">SUM(F557:F562)</f>
        <v>100000</v>
      </c>
      <c r="G556" s="13">
        <f t="shared" si="141"/>
        <v>0</v>
      </c>
      <c r="H556" s="310">
        <f t="shared" si="141"/>
        <v>4087600</v>
      </c>
    </row>
    <row r="557" spans="1:8" ht="15.75">
      <c r="A557" s="9"/>
      <c r="B557" s="10"/>
      <c r="C557" s="11">
        <v>4110</v>
      </c>
      <c r="D557" s="12" t="s">
        <v>99</v>
      </c>
      <c r="E557" s="13">
        <v>4000</v>
      </c>
      <c r="F557" s="13"/>
      <c r="G557" s="13"/>
      <c r="H557" s="310">
        <f>E557+F557-G557</f>
        <v>4000</v>
      </c>
    </row>
    <row r="558" spans="1:8" ht="15.75">
      <c r="A558" s="9"/>
      <c r="B558" s="10"/>
      <c r="C558" s="11">
        <v>4120</v>
      </c>
      <c r="D558" s="12" t="s">
        <v>100</v>
      </c>
      <c r="E558" s="13">
        <v>600</v>
      </c>
      <c r="F558" s="13"/>
      <c r="G558" s="13"/>
      <c r="H558" s="310">
        <f t="shared" ref="H558:H562" si="142">E558+F558-G558</f>
        <v>600</v>
      </c>
    </row>
    <row r="559" spans="1:8" ht="15.75">
      <c r="A559" s="9"/>
      <c r="B559" s="10"/>
      <c r="C559" s="11">
        <v>4170</v>
      </c>
      <c r="D559" s="12" t="s">
        <v>101</v>
      </c>
      <c r="E559" s="13">
        <v>23000</v>
      </c>
      <c r="F559" s="13"/>
      <c r="G559" s="13"/>
      <c r="H559" s="310">
        <f t="shared" si="142"/>
        <v>23000</v>
      </c>
    </row>
    <row r="560" spans="1:8" ht="15.75">
      <c r="A560" s="62"/>
      <c r="B560" s="63"/>
      <c r="C560" s="86">
        <v>6050</v>
      </c>
      <c r="D560" s="87" t="s">
        <v>98</v>
      </c>
      <c r="E560" s="88">
        <v>100000</v>
      </c>
      <c r="F560" s="88">
        <v>100000</v>
      </c>
      <c r="G560" s="88"/>
      <c r="H560" s="310">
        <f t="shared" si="142"/>
        <v>200000</v>
      </c>
    </row>
    <row r="561" spans="1:8" ht="47.25" customHeight="1">
      <c r="A561" s="62"/>
      <c r="B561" s="63"/>
      <c r="C561" s="86">
        <v>6370</v>
      </c>
      <c r="D561" s="87" t="s">
        <v>218</v>
      </c>
      <c r="E561" s="88">
        <v>3000000</v>
      </c>
      <c r="F561" s="88"/>
      <c r="G561" s="88"/>
      <c r="H561" s="310">
        <f t="shared" si="142"/>
        <v>3000000</v>
      </c>
    </row>
    <row r="562" spans="1:8" ht="60" customHeight="1">
      <c r="A562" s="62"/>
      <c r="B562" s="63"/>
      <c r="C562" s="89">
        <v>6570</v>
      </c>
      <c r="D562" s="90" t="s">
        <v>221</v>
      </c>
      <c r="E562" s="91">
        <f>352800+490000+7200+10000</f>
        <v>860000</v>
      </c>
      <c r="F562" s="91"/>
      <c r="G562" s="91"/>
      <c r="H562" s="310">
        <f t="shared" si="142"/>
        <v>860000</v>
      </c>
    </row>
    <row r="563" spans="1:8" ht="15.75">
      <c r="A563" s="9">
        <v>926</v>
      </c>
      <c r="B563" s="10"/>
      <c r="C563" s="11"/>
      <c r="D563" s="12" t="s">
        <v>89</v>
      </c>
      <c r="E563" s="13">
        <f>E564+E569+E591+E595</f>
        <v>11050097</v>
      </c>
      <c r="F563" s="13">
        <f>F564+F569+F591+F595</f>
        <v>947818</v>
      </c>
      <c r="G563" s="13">
        <f>G564+G569+G591+G595</f>
        <v>300000</v>
      </c>
      <c r="H563" s="310">
        <f>H564+H569+H591+H595</f>
        <v>11697915</v>
      </c>
    </row>
    <row r="564" spans="1:8" ht="15.75">
      <c r="A564" s="9"/>
      <c r="B564" s="10">
        <v>92601</v>
      </c>
      <c r="C564" s="11"/>
      <c r="D564" s="12" t="s">
        <v>181</v>
      </c>
      <c r="E564" s="13">
        <f>SUM(E565:E568)</f>
        <v>3810000</v>
      </c>
      <c r="F564" s="13">
        <f t="shared" ref="F564:H564" si="143">SUM(F565:F568)</f>
        <v>629000</v>
      </c>
      <c r="G564" s="13">
        <f t="shared" si="143"/>
        <v>300000</v>
      </c>
      <c r="H564" s="310">
        <f t="shared" si="143"/>
        <v>4139000</v>
      </c>
    </row>
    <row r="565" spans="1:8" ht="15.75">
      <c r="A565" s="9"/>
      <c r="B565" s="10"/>
      <c r="C565" s="89">
        <v>4270</v>
      </c>
      <c r="D565" s="90" t="s">
        <v>110</v>
      </c>
      <c r="E565" s="91">
        <f>1800000-415000+215000</f>
        <v>1600000</v>
      </c>
      <c r="F565" s="91">
        <v>280000</v>
      </c>
      <c r="G565" s="91"/>
      <c r="H565" s="342">
        <f>E565+F565-G565</f>
        <v>1880000</v>
      </c>
    </row>
    <row r="566" spans="1:8" ht="15.75">
      <c r="A566" s="9"/>
      <c r="B566" s="10"/>
      <c r="C566" s="89">
        <v>4300</v>
      </c>
      <c r="D566" s="90" t="s">
        <v>93</v>
      </c>
      <c r="E566" s="91">
        <f>450000+14000</f>
        <v>464000</v>
      </c>
      <c r="F566" s="91"/>
      <c r="G566" s="91"/>
      <c r="H566" s="342">
        <f t="shared" ref="H566:H568" si="144">E566+F566-G566</f>
        <v>464000</v>
      </c>
    </row>
    <row r="567" spans="1:8" ht="15.75">
      <c r="A567" s="9"/>
      <c r="B567" s="10"/>
      <c r="C567" s="11">
        <v>4430</v>
      </c>
      <c r="D567" s="12" t="s">
        <v>95</v>
      </c>
      <c r="E567" s="13">
        <v>25000</v>
      </c>
      <c r="F567" s="13"/>
      <c r="G567" s="13"/>
      <c r="H567" s="342">
        <f t="shared" si="144"/>
        <v>25000</v>
      </c>
    </row>
    <row r="568" spans="1:8" ht="15.75">
      <c r="A568" s="9"/>
      <c r="B568" s="10"/>
      <c r="C568" s="89">
        <v>6050</v>
      </c>
      <c r="D568" s="90" t="s">
        <v>98</v>
      </c>
      <c r="E568" s="91">
        <f>2071000-600000+250000</f>
        <v>1721000</v>
      </c>
      <c r="F568" s="91">
        <f>300000+49000</f>
        <v>349000</v>
      </c>
      <c r="G568" s="91">
        <v>300000</v>
      </c>
      <c r="H568" s="342">
        <f t="shared" si="144"/>
        <v>1770000</v>
      </c>
    </row>
    <row r="569" spans="1:8" ht="15.75">
      <c r="A569" s="9"/>
      <c r="B569" s="10">
        <v>92604</v>
      </c>
      <c r="C569" s="11"/>
      <c r="D569" s="12" t="s">
        <v>90</v>
      </c>
      <c r="E569" s="13">
        <f>SUM(E570:E590)</f>
        <v>5871097</v>
      </c>
      <c r="F569" s="13">
        <f t="shared" ref="F569:H569" si="145">SUM(F570:F590)</f>
        <v>299000</v>
      </c>
      <c r="G569" s="13">
        <f t="shared" si="145"/>
        <v>0</v>
      </c>
      <c r="H569" s="310">
        <f t="shared" si="145"/>
        <v>6170097</v>
      </c>
    </row>
    <row r="570" spans="1:8" ht="15.75">
      <c r="A570" s="9"/>
      <c r="B570" s="10"/>
      <c r="C570" s="11">
        <v>3020</v>
      </c>
      <c r="D570" s="12" t="s">
        <v>119</v>
      </c>
      <c r="E570" s="13">
        <v>18000</v>
      </c>
      <c r="F570" s="13"/>
      <c r="G570" s="13"/>
      <c r="H570" s="310">
        <f>E570+F570-G570</f>
        <v>18000</v>
      </c>
    </row>
    <row r="571" spans="1:8" ht="15.75">
      <c r="A571" s="9"/>
      <c r="B571" s="10"/>
      <c r="C571" s="11">
        <v>4010</v>
      </c>
      <c r="D571" s="12" t="s">
        <v>116</v>
      </c>
      <c r="E571" s="13">
        <v>1559381</v>
      </c>
      <c r="F571" s="13"/>
      <c r="G571" s="13"/>
      <c r="H571" s="310">
        <f t="shared" ref="H571:H590" si="146">E571+F571-G571</f>
        <v>1559381</v>
      </c>
    </row>
    <row r="572" spans="1:8" ht="15.75">
      <c r="A572" s="9"/>
      <c r="B572" s="10"/>
      <c r="C572" s="11">
        <v>4040</v>
      </c>
      <c r="D572" s="12" t="s">
        <v>120</v>
      </c>
      <c r="E572" s="13">
        <v>118652</v>
      </c>
      <c r="F572" s="13"/>
      <c r="G572" s="13"/>
      <c r="H572" s="310">
        <f t="shared" si="146"/>
        <v>118652</v>
      </c>
    </row>
    <row r="573" spans="1:8" ht="15.75">
      <c r="A573" s="9"/>
      <c r="B573" s="10"/>
      <c r="C573" s="11">
        <v>4110</v>
      </c>
      <c r="D573" s="12" t="s">
        <v>99</v>
      </c>
      <c r="E573" s="13">
        <v>371589</v>
      </c>
      <c r="F573" s="13"/>
      <c r="G573" s="13"/>
      <c r="H573" s="310">
        <f t="shared" si="146"/>
        <v>371589</v>
      </c>
    </row>
    <row r="574" spans="1:8" ht="15.75">
      <c r="A574" s="9"/>
      <c r="B574" s="10"/>
      <c r="C574" s="11">
        <v>4120</v>
      </c>
      <c r="D574" s="12" t="s">
        <v>100</v>
      </c>
      <c r="E574" s="13">
        <v>53240</v>
      </c>
      <c r="F574" s="13"/>
      <c r="G574" s="13"/>
      <c r="H574" s="310">
        <f t="shared" si="146"/>
        <v>53240</v>
      </c>
    </row>
    <row r="575" spans="1:8" ht="15.75">
      <c r="A575" s="9"/>
      <c r="B575" s="10"/>
      <c r="C575" s="11">
        <v>4170</v>
      </c>
      <c r="D575" s="12" t="s">
        <v>101</v>
      </c>
      <c r="E575" s="13">
        <v>495000</v>
      </c>
      <c r="F575" s="13"/>
      <c r="G575" s="13"/>
      <c r="H575" s="310">
        <f t="shared" si="146"/>
        <v>495000</v>
      </c>
    </row>
    <row r="576" spans="1:8" ht="15.75">
      <c r="A576" s="9"/>
      <c r="B576" s="10"/>
      <c r="C576" s="11">
        <v>4210</v>
      </c>
      <c r="D576" s="12" t="s">
        <v>102</v>
      </c>
      <c r="E576" s="13">
        <v>398000</v>
      </c>
      <c r="F576" s="13"/>
      <c r="G576" s="13"/>
      <c r="H576" s="310">
        <f t="shared" si="146"/>
        <v>398000</v>
      </c>
    </row>
    <row r="577" spans="1:8" ht="15.75">
      <c r="A577" s="9"/>
      <c r="B577" s="10"/>
      <c r="C577" s="11">
        <v>4260</v>
      </c>
      <c r="D577" s="12" t="s">
        <v>111</v>
      </c>
      <c r="E577" s="13">
        <v>740000</v>
      </c>
      <c r="F577" s="13"/>
      <c r="G577" s="13"/>
      <c r="H577" s="310">
        <f t="shared" si="146"/>
        <v>740000</v>
      </c>
    </row>
    <row r="578" spans="1:8" ht="15.75">
      <c r="A578" s="9"/>
      <c r="B578" s="10"/>
      <c r="C578" s="11">
        <v>4270</v>
      </c>
      <c r="D578" s="12" t="s">
        <v>110</v>
      </c>
      <c r="E578" s="13">
        <v>20000</v>
      </c>
      <c r="F578" s="13"/>
      <c r="G578" s="13"/>
      <c r="H578" s="310">
        <f t="shared" si="146"/>
        <v>20000</v>
      </c>
    </row>
    <row r="579" spans="1:8" ht="15.75">
      <c r="A579" s="9"/>
      <c r="B579" s="10"/>
      <c r="C579" s="11">
        <v>4280</v>
      </c>
      <c r="D579" s="12" t="s">
        <v>123</v>
      </c>
      <c r="E579" s="13">
        <v>5000</v>
      </c>
      <c r="F579" s="13"/>
      <c r="G579" s="13"/>
      <c r="H579" s="310">
        <f t="shared" si="146"/>
        <v>5000</v>
      </c>
    </row>
    <row r="580" spans="1:8" ht="15.75">
      <c r="A580" s="9"/>
      <c r="B580" s="10"/>
      <c r="C580" s="11">
        <v>4300</v>
      </c>
      <c r="D580" s="12" t="s">
        <v>93</v>
      </c>
      <c r="E580" s="13">
        <f>1250000+20000+80000</f>
        <v>1350000</v>
      </c>
      <c r="F580" s="13">
        <v>50000</v>
      </c>
      <c r="G580" s="13"/>
      <c r="H580" s="310">
        <f t="shared" si="146"/>
        <v>1400000</v>
      </c>
    </row>
    <row r="581" spans="1:8" ht="15.75">
      <c r="A581" s="9"/>
      <c r="B581" s="10"/>
      <c r="C581" s="11">
        <v>4360</v>
      </c>
      <c r="D581" s="12" t="s">
        <v>124</v>
      </c>
      <c r="E581" s="13">
        <v>30000</v>
      </c>
      <c r="F581" s="13"/>
      <c r="G581" s="13"/>
      <c r="H581" s="310">
        <f t="shared" si="146"/>
        <v>30000</v>
      </c>
    </row>
    <row r="582" spans="1:8" ht="15.75">
      <c r="A582" s="9"/>
      <c r="B582" s="10"/>
      <c r="C582" s="11">
        <v>4390</v>
      </c>
      <c r="D582" s="12" t="s">
        <v>182</v>
      </c>
      <c r="E582" s="13">
        <v>2500</v>
      </c>
      <c r="F582" s="13"/>
      <c r="G582" s="13"/>
      <c r="H582" s="310">
        <f t="shared" si="146"/>
        <v>2500</v>
      </c>
    </row>
    <row r="583" spans="1:8" ht="15.75">
      <c r="A583" s="9"/>
      <c r="B583" s="10"/>
      <c r="C583" s="11">
        <v>4410</v>
      </c>
      <c r="D583" s="12" t="s">
        <v>125</v>
      </c>
      <c r="E583" s="13">
        <v>14500</v>
      </c>
      <c r="F583" s="13"/>
      <c r="G583" s="13"/>
      <c r="H583" s="310">
        <f t="shared" si="146"/>
        <v>14500</v>
      </c>
    </row>
    <row r="584" spans="1:8" ht="15.75">
      <c r="A584" s="9"/>
      <c r="B584" s="10"/>
      <c r="C584" s="72">
        <v>4420</v>
      </c>
      <c r="D584" s="73" t="s">
        <v>126</v>
      </c>
      <c r="E584" s="13">
        <v>500</v>
      </c>
      <c r="F584" s="13"/>
      <c r="G584" s="13"/>
      <c r="H584" s="310">
        <f t="shared" si="146"/>
        <v>500</v>
      </c>
    </row>
    <row r="585" spans="1:8" ht="15.75">
      <c r="A585" s="9"/>
      <c r="B585" s="10"/>
      <c r="C585" s="11">
        <v>4430</v>
      </c>
      <c r="D585" s="12" t="s">
        <v>95</v>
      </c>
      <c r="E585" s="13">
        <v>60000</v>
      </c>
      <c r="F585" s="13"/>
      <c r="G585" s="13"/>
      <c r="H585" s="310">
        <f t="shared" si="146"/>
        <v>60000</v>
      </c>
    </row>
    <row r="586" spans="1:8" ht="15.75">
      <c r="A586" s="9"/>
      <c r="B586" s="10"/>
      <c r="C586" s="11">
        <v>4440</v>
      </c>
      <c r="D586" s="12" t="s">
        <v>127</v>
      </c>
      <c r="E586" s="13">
        <v>34235</v>
      </c>
      <c r="F586" s="13"/>
      <c r="G586" s="13"/>
      <c r="H586" s="310">
        <f t="shared" si="146"/>
        <v>34235</v>
      </c>
    </row>
    <row r="587" spans="1:8" ht="29.25" customHeight="1">
      <c r="A587" s="9"/>
      <c r="B587" s="10"/>
      <c r="C587" s="11">
        <v>4500</v>
      </c>
      <c r="D587" s="12" t="s">
        <v>368</v>
      </c>
      <c r="E587" s="13">
        <v>500</v>
      </c>
      <c r="F587" s="13"/>
      <c r="G587" s="13"/>
      <c r="H587" s="310">
        <f t="shared" si="146"/>
        <v>500</v>
      </c>
    </row>
    <row r="588" spans="1:8" ht="26.25" customHeight="1">
      <c r="A588" s="9"/>
      <c r="B588" s="10"/>
      <c r="C588" s="11">
        <v>4700</v>
      </c>
      <c r="D588" s="12" t="s">
        <v>128</v>
      </c>
      <c r="E588" s="13">
        <v>8000</v>
      </c>
      <c r="F588" s="13"/>
      <c r="G588" s="13"/>
      <c r="H588" s="310">
        <f t="shared" si="146"/>
        <v>8000</v>
      </c>
    </row>
    <row r="589" spans="1:8" ht="15.75">
      <c r="A589" s="9"/>
      <c r="B589" s="10"/>
      <c r="C589" s="11">
        <v>4710</v>
      </c>
      <c r="D589" s="12" t="s">
        <v>103</v>
      </c>
      <c r="E589" s="13">
        <v>12000</v>
      </c>
      <c r="F589" s="13"/>
      <c r="G589" s="13"/>
      <c r="H589" s="310">
        <f t="shared" si="146"/>
        <v>12000</v>
      </c>
    </row>
    <row r="590" spans="1:8" ht="15.75">
      <c r="A590" s="9"/>
      <c r="B590" s="10"/>
      <c r="C590" s="89">
        <v>6050</v>
      </c>
      <c r="D590" s="90" t="s">
        <v>98</v>
      </c>
      <c r="E590" s="13">
        <v>580000</v>
      </c>
      <c r="F590" s="13">
        <v>249000</v>
      </c>
      <c r="G590" s="13"/>
      <c r="H590" s="310">
        <f t="shared" si="146"/>
        <v>829000</v>
      </c>
    </row>
    <row r="591" spans="1:8" ht="15.75">
      <c r="A591" s="9"/>
      <c r="B591" s="10">
        <v>92605</v>
      </c>
      <c r="C591" s="11"/>
      <c r="D591" s="12" t="s">
        <v>183</v>
      </c>
      <c r="E591" s="13">
        <f>SUM(E592:E594)</f>
        <v>439000</v>
      </c>
      <c r="F591" s="13">
        <f t="shared" ref="F591:H591" si="147">SUM(F592:F594)</f>
        <v>19818</v>
      </c>
      <c r="G591" s="13">
        <f t="shared" si="147"/>
        <v>0</v>
      </c>
      <c r="H591" s="310">
        <f t="shared" si="147"/>
        <v>458818</v>
      </c>
    </row>
    <row r="592" spans="1:8" ht="60" customHeight="1">
      <c r="A592" s="9"/>
      <c r="B592" s="10"/>
      <c r="C592" s="11">
        <v>2360</v>
      </c>
      <c r="D592" s="12" t="s">
        <v>338</v>
      </c>
      <c r="E592" s="13">
        <v>420000</v>
      </c>
      <c r="F592" s="13"/>
      <c r="G592" s="13"/>
      <c r="H592" s="310">
        <f>E592+F592-G592</f>
        <v>420000</v>
      </c>
    </row>
    <row r="593" spans="1:8" ht="15.75">
      <c r="A593" s="9"/>
      <c r="B593" s="10"/>
      <c r="C593" s="11">
        <v>4210</v>
      </c>
      <c r="D593" s="12" t="s">
        <v>102</v>
      </c>
      <c r="E593" s="13">
        <v>12000</v>
      </c>
      <c r="F593" s="13">
        <v>7945</v>
      </c>
      <c r="G593" s="13"/>
      <c r="H593" s="310">
        <f>E593+F593-G593</f>
        <v>19945</v>
      </c>
    </row>
    <row r="594" spans="1:8" ht="15.75">
      <c r="A594" s="9"/>
      <c r="B594" s="10"/>
      <c r="C594" s="11">
        <v>4300</v>
      </c>
      <c r="D594" s="12" t="s">
        <v>93</v>
      </c>
      <c r="E594" s="13">
        <v>7000</v>
      </c>
      <c r="F594" s="13">
        <f>5574+5000+1299</f>
        <v>11873</v>
      </c>
      <c r="G594" s="13"/>
      <c r="H594" s="310">
        <f>E594+F594-G594</f>
        <v>18873</v>
      </c>
    </row>
    <row r="595" spans="1:8" ht="15.75">
      <c r="A595" s="9"/>
      <c r="B595" s="10">
        <v>92695</v>
      </c>
      <c r="C595" s="11"/>
      <c r="D595" s="12" t="s">
        <v>8</v>
      </c>
      <c r="E595" s="13">
        <f>SUM(E596:E598)</f>
        <v>930000</v>
      </c>
      <c r="F595" s="13">
        <f t="shared" ref="F595:H595" si="148">SUM(F596:F598)</f>
        <v>0</v>
      </c>
      <c r="G595" s="13">
        <f t="shared" si="148"/>
        <v>0</v>
      </c>
      <c r="H595" s="310">
        <f t="shared" si="148"/>
        <v>930000</v>
      </c>
    </row>
    <row r="596" spans="1:8" ht="15.75">
      <c r="A596" s="9"/>
      <c r="B596" s="10"/>
      <c r="C596" s="11">
        <v>4210</v>
      </c>
      <c r="D596" s="12" t="s">
        <v>102</v>
      </c>
      <c r="E596" s="13">
        <v>5000</v>
      </c>
      <c r="F596" s="13"/>
      <c r="G596" s="13"/>
      <c r="H596" s="310">
        <f>E596+F596-G596</f>
        <v>5000</v>
      </c>
    </row>
    <row r="597" spans="1:8" ht="15.75">
      <c r="A597" s="9"/>
      <c r="B597" s="10"/>
      <c r="C597" s="11">
        <v>4300</v>
      </c>
      <c r="D597" s="12" t="s">
        <v>93</v>
      </c>
      <c r="E597" s="13">
        <v>100000</v>
      </c>
      <c r="F597" s="13"/>
      <c r="G597" s="13"/>
      <c r="H597" s="310">
        <f t="shared" ref="H597:H598" si="149">E597+F597-G597</f>
        <v>100000</v>
      </c>
    </row>
    <row r="598" spans="1:8" ht="15.75">
      <c r="A598" s="9"/>
      <c r="B598" s="10"/>
      <c r="C598" s="11">
        <v>6050</v>
      </c>
      <c r="D598" s="12" t="s">
        <v>98</v>
      </c>
      <c r="E598" s="13">
        <f>250000*5+120000-425000-120000</f>
        <v>825000</v>
      </c>
      <c r="F598" s="13"/>
      <c r="G598" s="13"/>
      <c r="H598" s="310">
        <f t="shared" si="149"/>
        <v>825000</v>
      </c>
    </row>
    <row r="599" spans="1:8" ht="15.75">
      <c r="A599" s="343"/>
      <c r="B599" s="344"/>
      <c r="C599" s="345"/>
      <c r="D599" s="346" t="s">
        <v>91</v>
      </c>
      <c r="E599" s="347">
        <f>E6+E25+E31+E54+E71+E82+E149+E169+E205+E209+E214+E335+E363+E443+E449+E458+E502+E539+E563</f>
        <v>265855713.11000001</v>
      </c>
      <c r="F599" s="347">
        <f>F6+F25+F31+F54+F71+F82+F149+F169+F205+F209+F214+F335+F363+F443+F449+F458+F502+F539+F563</f>
        <v>29420428.999999996</v>
      </c>
      <c r="G599" s="347">
        <f>G6+G25+G31+G54+G71+G82+G149+G169+G205+G209+G214+G335+G363+G443+G449+G458+G502+G539+G563</f>
        <v>997097</v>
      </c>
      <c r="H599" s="347">
        <f>H6+H25+H31+H54+H71+H82+H149+H169+H205+H209+H214+H335+H363+H443+H449+H458+H502+H539+H563</f>
        <v>294279045.11000001</v>
      </c>
    </row>
    <row r="600" spans="1:8">
      <c r="E600" s="66"/>
    </row>
    <row r="601" spans="1:8">
      <c r="F601" s="23"/>
      <c r="H601" s="23"/>
    </row>
    <row r="602" spans="1:8">
      <c r="E602" s="23"/>
      <c r="F602" s="23"/>
      <c r="H602" s="23"/>
    </row>
  </sheetData>
  <mergeCells count="1">
    <mergeCell ref="A1:H1"/>
  </mergeCells>
  <conditionalFormatting sqref="A208">
    <cfRule type="expression" dxfId="244" priority="313" stopIfTrue="1">
      <formula>$D207 = "OGÓŁEM:"</formula>
    </cfRule>
    <cfRule type="expression" dxfId="243" priority="314" stopIfTrue="1">
      <formula>LEN($A208)&gt;1</formula>
    </cfRule>
    <cfRule type="expression" dxfId="242" priority="315" stopIfTrue="1">
      <formula>LEN($B207)&gt;1</formula>
    </cfRule>
  </conditionalFormatting>
  <conditionalFormatting sqref="A18:F23 F479:H599 A479:E984">
    <cfRule type="expression" dxfId="241" priority="16" stopIfTrue="1">
      <formula>$D18 = "OGÓŁEM:"</formula>
    </cfRule>
    <cfRule type="expression" dxfId="240" priority="17" stopIfTrue="1">
      <formula>LEN($A18)&gt;1</formula>
    </cfRule>
    <cfRule type="expression" dxfId="239" priority="18" stopIfTrue="1">
      <formula>LEN($B18)&gt;1</formula>
    </cfRule>
  </conditionalFormatting>
  <conditionalFormatting sqref="A6:H17 G18:H18 G19:G23 H19:H24 A24:G24 A209:H478">
    <cfRule type="expression" dxfId="238" priority="19" stopIfTrue="1">
      <formula>$D6 = "OGÓŁEM:"</formula>
    </cfRule>
    <cfRule type="expression" dxfId="237" priority="20" stopIfTrue="1">
      <formula>LEN($A6)&gt;1</formula>
    </cfRule>
    <cfRule type="expression" dxfId="236" priority="21" stopIfTrue="1">
      <formula>LEN($B6)&gt;1</formula>
    </cfRule>
  </conditionalFormatting>
  <conditionalFormatting sqref="A25:H206">
    <cfRule type="expression" dxfId="235" priority="1" stopIfTrue="1">
      <formula>$D25 = "OGÓŁEM:"</formula>
    </cfRule>
    <cfRule type="expression" dxfId="234" priority="2" stopIfTrue="1">
      <formula>LEN($A25)&gt;1</formula>
    </cfRule>
    <cfRule type="expression" dxfId="233" priority="3" stopIfTrue="1">
      <formula>LEN($B25)&gt;1</formula>
    </cfRule>
  </conditionalFormatting>
  <conditionalFormatting sqref="B207:H207">
    <cfRule type="expression" dxfId="232" priority="317" stopIfTrue="1">
      <formula>LEN($A208)&gt;1</formula>
    </cfRule>
    <cfRule type="expression" dxfId="231" priority="318" stopIfTrue="1">
      <formula>LEN($B207)&gt;1</formula>
    </cfRule>
  </conditionalFormatting>
  <conditionalFormatting sqref="B207:H208">
    <cfRule type="expression" dxfId="230" priority="316" stopIfTrue="1">
      <formula>$D207 = "OGÓŁEM:"</formula>
    </cfRule>
  </conditionalFormatting>
  <conditionalFormatting sqref="B208:H208">
    <cfRule type="expression" dxfId="229" priority="320" stopIfTrue="1">
      <formula>LEN(#REF!)&gt;1</formula>
    </cfRule>
    <cfRule type="expression" dxfId="228" priority="321" stopIfTrue="1">
      <formula>LEN($B208)&gt;1</formula>
    </cfRule>
  </conditionalFormatting>
  <pageMargins left="0.11811023622047245" right="0.11811023622047245" top="1.1417322834645669" bottom="0.35433070866141736" header="0.31496062992125984" footer="0.11811023622047245"/>
  <pageSetup paperSize="9" scale="68" fitToHeight="0" orientation="portrait" r:id="rId1"/>
  <headerFooter>
    <oddHeader xml:space="preserve">&amp;RZałącznik Nr 2
do Zarządzenia Nr 821/2024 
Wójta Gminy Komorniki z dnia 29 kwietnia 2024r.    
w sprawie uchwały budżetowej na 2024r.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869A2-5763-4D48-8FC9-3AB4982135CE}">
  <sheetPr codeName="Arkusz11"/>
  <dimension ref="A1:H90"/>
  <sheetViews>
    <sheetView topLeftCell="A16" zoomScale="75" zoomScaleNormal="75" zoomScaleSheetLayoutView="75" workbookViewId="0">
      <selection activeCell="A34" sqref="A34:H39"/>
    </sheetView>
  </sheetViews>
  <sheetFormatPr defaultRowHeight="15"/>
  <cols>
    <col min="1" max="1" width="5.7109375" style="69" customWidth="1"/>
    <col min="2" max="2" width="6.85546875" style="69" customWidth="1"/>
    <col min="3" max="3" width="8.42578125" style="69" customWidth="1"/>
    <col min="4" max="4" width="70.28515625" style="69" customWidth="1"/>
    <col min="5" max="5" width="14.85546875" style="69" customWidth="1"/>
    <col min="6" max="6" width="15" style="69" customWidth="1"/>
    <col min="7" max="7" width="17" style="69" customWidth="1"/>
    <col min="8" max="8" width="15.42578125" style="69" customWidth="1"/>
    <col min="9" max="16384" width="9.140625" style="69"/>
  </cols>
  <sheetData>
    <row r="1" spans="1:8" ht="34.5" customHeight="1">
      <c r="A1" s="579" t="s">
        <v>366</v>
      </c>
      <c r="B1" s="579"/>
      <c r="C1" s="579"/>
      <c r="D1" s="579"/>
      <c r="E1" s="579"/>
      <c r="F1" s="580"/>
      <c r="G1" s="580"/>
      <c r="H1" s="580"/>
    </row>
    <row r="2" spans="1:8" ht="22.5" customHeight="1">
      <c r="A2" s="102" t="s">
        <v>317</v>
      </c>
      <c r="B2" s="94"/>
      <c r="C2" s="102"/>
      <c r="D2" s="103"/>
      <c r="E2" s="103"/>
      <c r="F2" s="85"/>
    </row>
    <row r="3" spans="1:8" ht="51.75" customHeight="1">
      <c r="A3" s="291" t="s">
        <v>0</v>
      </c>
      <c r="B3" s="292" t="s">
        <v>1</v>
      </c>
      <c r="C3" s="293" t="s">
        <v>2</v>
      </c>
      <c r="D3" s="293" t="s">
        <v>3</v>
      </c>
      <c r="E3" s="293" t="s">
        <v>4</v>
      </c>
      <c r="F3" s="290" t="s">
        <v>326</v>
      </c>
      <c r="G3" s="290" t="s">
        <v>327</v>
      </c>
      <c r="H3" s="290" t="s">
        <v>328</v>
      </c>
    </row>
    <row r="4" spans="1:8">
      <c r="A4" s="5">
        <v>1</v>
      </c>
      <c r="B4" s="6">
        <v>2</v>
      </c>
      <c r="C4" s="6">
        <v>3</v>
      </c>
      <c r="D4" s="6">
        <v>4</v>
      </c>
      <c r="E4" s="6">
        <v>5</v>
      </c>
      <c r="F4" s="245">
        <v>6</v>
      </c>
      <c r="G4" s="245">
        <v>7</v>
      </c>
      <c r="H4" s="245">
        <v>8</v>
      </c>
    </row>
    <row r="5" spans="1:8" ht="15.75" hidden="1" customHeight="1">
      <c r="A5" s="7"/>
      <c r="B5" s="8"/>
      <c r="C5" s="8"/>
      <c r="D5" s="8"/>
      <c r="E5" s="8"/>
      <c r="F5" s="85"/>
    </row>
    <row r="6" spans="1:8" ht="15.75">
      <c r="A6" s="97">
        <v>10</v>
      </c>
      <c r="B6" s="98"/>
      <c r="C6" s="99"/>
      <c r="D6" s="100" t="s">
        <v>5</v>
      </c>
      <c r="E6" s="101">
        <f>SUM(E8:E14)</f>
        <v>150482.09</v>
      </c>
      <c r="F6" s="101">
        <f t="shared" ref="F6:H6" si="0">SUM(F8:F14)</f>
        <v>0</v>
      </c>
      <c r="G6" s="101">
        <f t="shared" si="0"/>
        <v>0</v>
      </c>
      <c r="H6" s="101">
        <f t="shared" si="0"/>
        <v>150482.09</v>
      </c>
    </row>
    <row r="7" spans="1:8" ht="15.75">
      <c r="A7" s="9"/>
      <c r="B7" s="10">
        <v>1095</v>
      </c>
      <c r="C7" s="11"/>
      <c r="D7" s="12" t="s">
        <v>8</v>
      </c>
      <c r="E7" s="13">
        <f>SUM(E8:E14)</f>
        <v>150482.09</v>
      </c>
      <c r="F7" s="13">
        <f t="shared" ref="F7:H7" si="1">SUM(F8:F14)</f>
        <v>0</v>
      </c>
      <c r="G7" s="13">
        <f t="shared" si="1"/>
        <v>0</v>
      </c>
      <c r="H7" s="13">
        <f t="shared" si="1"/>
        <v>150482.09</v>
      </c>
    </row>
    <row r="8" spans="1:8" ht="15.75">
      <c r="A8" s="9"/>
      <c r="B8" s="10"/>
      <c r="C8" s="11">
        <v>4110</v>
      </c>
      <c r="D8" s="12" t="s">
        <v>99</v>
      </c>
      <c r="E8" s="13">
        <v>339.33</v>
      </c>
      <c r="F8" s="13"/>
      <c r="G8" s="13"/>
      <c r="H8" s="13">
        <f>E8+F8-G8</f>
        <v>339.33</v>
      </c>
    </row>
    <row r="9" spans="1:8" ht="15.75">
      <c r="A9" s="9"/>
      <c r="B9" s="10"/>
      <c r="C9" s="11">
        <v>4120</v>
      </c>
      <c r="D9" s="12" t="s">
        <v>100</v>
      </c>
      <c r="E9" s="13">
        <v>49.11</v>
      </c>
      <c r="F9" s="13"/>
      <c r="G9" s="13"/>
      <c r="H9" s="13">
        <f t="shared" ref="H9:H14" si="2">E9+F9-G9</f>
        <v>49.11</v>
      </c>
    </row>
    <row r="10" spans="1:8" ht="15.75">
      <c r="A10" s="9"/>
      <c r="B10" s="10"/>
      <c r="C10" s="11">
        <v>4170</v>
      </c>
      <c r="D10" s="12" t="s">
        <v>101</v>
      </c>
      <c r="E10" s="13">
        <v>2004.32</v>
      </c>
      <c r="F10" s="13"/>
      <c r="G10" s="13"/>
      <c r="H10" s="13">
        <f t="shared" si="2"/>
        <v>2004.32</v>
      </c>
    </row>
    <row r="11" spans="1:8" ht="15.75">
      <c r="A11" s="9"/>
      <c r="B11" s="10"/>
      <c r="C11" s="11">
        <v>4210</v>
      </c>
      <c r="D11" s="12" t="s">
        <v>102</v>
      </c>
      <c r="E11" s="13">
        <v>18.2</v>
      </c>
      <c r="F11" s="13"/>
      <c r="G11" s="13"/>
      <c r="H11" s="13">
        <f t="shared" si="2"/>
        <v>18.2</v>
      </c>
    </row>
    <row r="12" spans="1:8" ht="15.75">
      <c r="A12" s="9"/>
      <c r="B12" s="10"/>
      <c r="C12" s="11">
        <v>4300</v>
      </c>
      <c r="D12" s="12" t="s">
        <v>93</v>
      </c>
      <c r="E12" s="13">
        <v>509.6</v>
      </c>
      <c r="F12" s="13"/>
      <c r="G12" s="13"/>
      <c r="H12" s="13">
        <f t="shared" si="2"/>
        <v>509.6</v>
      </c>
    </row>
    <row r="13" spans="1:8" ht="15.75">
      <c r="A13" s="9"/>
      <c r="B13" s="10"/>
      <c r="C13" s="11">
        <v>4430</v>
      </c>
      <c r="D13" s="12" t="s">
        <v>95</v>
      </c>
      <c r="E13" s="13">
        <v>147531.46</v>
      </c>
      <c r="F13" s="13"/>
      <c r="G13" s="13"/>
      <c r="H13" s="13">
        <f t="shared" si="2"/>
        <v>147531.46</v>
      </c>
    </row>
    <row r="14" spans="1:8" ht="15.75">
      <c r="A14" s="9"/>
      <c r="B14" s="10"/>
      <c r="C14" s="11">
        <v>4710</v>
      </c>
      <c r="D14" s="12" t="s">
        <v>103</v>
      </c>
      <c r="E14" s="13">
        <v>30.07</v>
      </c>
      <c r="F14" s="13"/>
      <c r="G14" s="13"/>
      <c r="H14" s="13">
        <f t="shared" si="2"/>
        <v>30.07</v>
      </c>
    </row>
    <row r="15" spans="1:8" ht="15.75">
      <c r="A15" s="9">
        <v>750</v>
      </c>
      <c r="B15" s="10"/>
      <c r="C15" s="11"/>
      <c r="D15" s="12" t="s">
        <v>28</v>
      </c>
      <c r="E15" s="13">
        <f>E16</f>
        <v>414302</v>
      </c>
      <c r="F15" s="13">
        <f t="shared" ref="F15:H15" si="3">F16</f>
        <v>0</v>
      </c>
      <c r="G15" s="13">
        <f t="shared" si="3"/>
        <v>0</v>
      </c>
      <c r="H15" s="13">
        <f t="shared" si="3"/>
        <v>414302</v>
      </c>
    </row>
    <row r="16" spans="1:8" ht="15.75">
      <c r="A16" s="9"/>
      <c r="B16" s="10">
        <v>75011</v>
      </c>
      <c r="C16" s="11"/>
      <c r="D16" s="12" t="s">
        <v>29</v>
      </c>
      <c r="E16" s="13">
        <f>SUM(E17:E19)</f>
        <v>414302</v>
      </c>
      <c r="F16" s="13">
        <f t="shared" ref="F16:H16" si="4">SUM(F17:F19)</f>
        <v>0</v>
      </c>
      <c r="G16" s="13">
        <f t="shared" si="4"/>
        <v>0</v>
      </c>
      <c r="H16" s="13">
        <f t="shared" si="4"/>
        <v>414302</v>
      </c>
    </row>
    <row r="17" spans="1:8" ht="15.75">
      <c r="A17" s="9"/>
      <c r="B17" s="10"/>
      <c r="C17" s="11">
        <v>4010</v>
      </c>
      <c r="D17" s="12" t="s">
        <v>116</v>
      </c>
      <c r="E17" s="13">
        <f>327818+18734</f>
        <v>346552</v>
      </c>
      <c r="F17" s="13"/>
      <c r="G17" s="13"/>
      <c r="H17" s="13">
        <f>E17+F17-G17</f>
        <v>346552</v>
      </c>
    </row>
    <row r="18" spans="1:8" ht="15.75">
      <c r="A18" s="9"/>
      <c r="B18" s="10"/>
      <c r="C18" s="11">
        <v>4110</v>
      </c>
      <c r="D18" s="12" t="s">
        <v>99</v>
      </c>
      <c r="E18" s="13">
        <f>56057+3203</f>
        <v>59260</v>
      </c>
      <c r="F18" s="13"/>
      <c r="G18" s="13"/>
      <c r="H18" s="13">
        <f t="shared" ref="H18:H19" si="5">E18+F18-G18</f>
        <v>59260</v>
      </c>
    </row>
    <row r="19" spans="1:8" ht="15.75">
      <c r="A19" s="9"/>
      <c r="B19" s="10"/>
      <c r="C19" s="11">
        <v>4120</v>
      </c>
      <c r="D19" s="12" t="s">
        <v>100</v>
      </c>
      <c r="E19" s="13">
        <f>8031+459</f>
        <v>8490</v>
      </c>
      <c r="F19" s="13"/>
      <c r="G19" s="13"/>
      <c r="H19" s="13">
        <f t="shared" si="5"/>
        <v>8490</v>
      </c>
    </row>
    <row r="20" spans="1:8" ht="31.5">
      <c r="A20" s="9">
        <v>751</v>
      </c>
      <c r="B20" s="10"/>
      <c r="C20" s="11"/>
      <c r="D20" s="12" t="s">
        <v>32</v>
      </c>
      <c r="E20" s="13">
        <f>E21+E25+E34</f>
        <v>325412</v>
      </c>
      <c r="F20" s="13">
        <f t="shared" ref="F20:H20" si="6">F21+F25+F34</f>
        <v>46829</v>
      </c>
      <c r="G20" s="13">
        <f t="shared" si="6"/>
        <v>0</v>
      </c>
      <c r="H20" s="13">
        <f t="shared" si="6"/>
        <v>372241</v>
      </c>
    </row>
    <row r="21" spans="1:8" ht="14.25" customHeight="1">
      <c r="A21" s="9"/>
      <c r="B21" s="10">
        <v>75101</v>
      </c>
      <c r="C21" s="11"/>
      <c r="D21" s="12" t="s">
        <v>33</v>
      </c>
      <c r="E21" s="13">
        <f>SUM(E22:E24)</f>
        <v>5849</v>
      </c>
      <c r="F21" s="13">
        <f t="shared" ref="F21:H21" si="7">SUM(F22:F24)</f>
        <v>0</v>
      </c>
      <c r="G21" s="13">
        <f t="shared" si="7"/>
        <v>0</v>
      </c>
      <c r="H21" s="13">
        <f t="shared" si="7"/>
        <v>5849</v>
      </c>
    </row>
    <row r="22" spans="1:8" ht="15.75">
      <c r="A22" s="9"/>
      <c r="B22" s="10"/>
      <c r="C22" s="11">
        <v>4010</v>
      </c>
      <c r="D22" s="12" t="s">
        <v>116</v>
      </c>
      <c r="E22" s="13">
        <v>4892</v>
      </c>
      <c r="F22" s="13"/>
      <c r="G22" s="13"/>
      <c r="H22" s="13">
        <v>4892</v>
      </c>
    </row>
    <row r="23" spans="1:8" ht="15.75">
      <c r="A23" s="9"/>
      <c r="B23" s="10"/>
      <c r="C23" s="11">
        <v>4110</v>
      </c>
      <c r="D23" s="12" t="s">
        <v>99</v>
      </c>
      <c r="E23" s="13">
        <v>837</v>
      </c>
      <c r="F23" s="13"/>
      <c r="G23" s="13"/>
      <c r="H23" s="13">
        <v>837</v>
      </c>
    </row>
    <row r="24" spans="1:8" ht="15.75">
      <c r="A24" s="9"/>
      <c r="B24" s="10"/>
      <c r="C24" s="11">
        <v>4120</v>
      </c>
      <c r="D24" s="12" t="s">
        <v>100</v>
      </c>
      <c r="E24" s="13">
        <v>120</v>
      </c>
      <c r="F24" s="13"/>
      <c r="G24" s="13"/>
      <c r="H24" s="13">
        <v>120</v>
      </c>
    </row>
    <row r="25" spans="1:8" ht="47.25">
      <c r="A25" s="70"/>
      <c r="B25" s="71">
        <v>75109</v>
      </c>
      <c r="C25" s="72"/>
      <c r="D25" s="73" t="s">
        <v>358</v>
      </c>
      <c r="E25" s="74">
        <f>SUM(E26:E33)</f>
        <v>319563</v>
      </c>
      <c r="F25" s="74">
        <f t="shared" ref="F25:H25" si="8">SUM(F26:F33)</f>
        <v>0</v>
      </c>
      <c r="G25" s="74">
        <f t="shared" si="8"/>
        <v>0</v>
      </c>
      <c r="H25" s="74">
        <f t="shared" si="8"/>
        <v>319563</v>
      </c>
    </row>
    <row r="26" spans="1:8" ht="15.75">
      <c r="A26" s="70"/>
      <c r="B26" s="71"/>
      <c r="C26" s="72">
        <v>3030</v>
      </c>
      <c r="D26" s="12" t="s">
        <v>118</v>
      </c>
      <c r="E26" s="74">
        <f>121000+64420+2660</f>
        <v>188080</v>
      </c>
      <c r="F26" s="74"/>
      <c r="G26" s="74"/>
      <c r="H26" s="13">
        <f>E26+F26-G26</f>
        <v>188080</v>
      </c>
    </row>
    <row r="27" spans="1:8" ht="15.75">
      <c r="A27" s="9"/>
      <c r="B27" s="10"/>
      <c r="C27" s="11">
        <v>4110</v>
      </c>
      <c r="D27" s="12" t="s">
        <v>99</v>
      </c>
      <c r="E27" s="13">
        <f>11301-6377+3513-946.02</f>
        <v>7490.98</v>
      </c>
      <c r="F27" s="13"/>
      <c r="G27" s="13"/>
      <c r="H27" s="13">
        <f>E27+F27-G27</f>
        <v>7490.98</v>
      </c>
    </row>
    <row r="28" spans="1:8" ht="15.75">
      <c r="A28" s="9"/>
      <c r="B28" s="10"/>
      <c r="C28" s="11">
        <v>4120</v>
      </c>
      <c r="D28" s="12" t="s">
        <v>100</v>
      </c>
      <c r="E28" s="13">
        <f>1619-914+509-284.41</f>
        <v>929.58999999999992</v>
      </c>
      <c r="F28" s="13"/>
      <c r="G28" s="13"/>
      <c r="H28" s="13">
        <f t="shared" ref="H28:H33" si="9">E28+F28-G28</f>
        <v>929.58999999999992</v>
      </c>
    </row>
    <row r="29" spans="1:8" ht="15.75">
      <c r="A29" s="9"/>
      <c r="B29" s="10"/>
      <c r="C29" s="11">
        <v>4170</v>
      </c>
      <c r="D29" s="12" t="s">
        <v>101</v>
      </c>
      <c r="E29" s="13">
        <f>66089-37296+20752+8201.63</f>
        <v>57746.63</v>
      </c>
      <c r="F29" s="13"/>
      <c r="G29" s="13"/>
      <c r="H29" s="13">
        <f t="shared" si="9"/>
        <v>57746.63</v>
      </c>
    </row>
    <row r="30" spans="1:8" ht="15.75">
      <c r="A30" s="9"/>
      <c r="B30" s="10"/>
      <c r="C30" s="11">
        <v>4210</v>
      </c>
      <c r="D30" s="12" t="s">
        <v>102</v>
      </c>
      <c r="E30" s="13">
        <f>5000+507.48</f>
        <v>5507.48</v>
      </c>
      <c r="F30" s="13"/>
      <c r="G30" s="13"/>
      <c r="H30" s="13">
        <f t="shared" si="9"/>
        <v>5507.48</v>
      </c>
    </row>
    <row r="31" spans="1:8" ht="15.75">
      <c r="A31" s="9"/>
      <c r="B31" s="10"/>
      <c r="C31" s="11">
        <v>4300</v>
      </c>
      <c r="D31" s="12" t="s">
        <v>93</v>
      </c>
      <c r="E31" s="13">
        <f>5000+2860+45146+11287-609-6735.68</f>
        <v>56948.32</v>
      </c>
      <c r="F31" s="13"/>
      <c r="G31" s="13"/>
      <c r="H31" s="13">
        <f t="shared" si="9"/>
        <v>56948.32</v>
      </c>
    </row>
    <row r="32" spans="1:8" ht="15.75">
      <c r="A32" s="9"/>
      <c r="B32" s="10"/>
      <c r="C32" s="11">
        <v>4410</v>
      </c>
      <c r="D32" s="12" t="s">
        <v>125</v>
      </c>
      <c r="E32" s="13">
        <f>2251+609</f>
        <v>2860</v>
      </c>
      <c r="F32" s="13"/>
      <c r="G32" s="13"/>
      <c r="H32" s="13">
        <f t="shared" si="9"/>
        <v>2860</v>
      </c>
    </row>
    <row r="33" spans="1:8" ht="15.75">
      <c r="A33" s="9"/>
      <c r="B33" s="10"/>
      <c r="C33" s="11">
        <v>4710</v>
      </c>
      <c r="D33" s="12" t="s">
        <v>103</v>
      </c>
      <c r="E33" s="13">
        <f>991-559+311-743</f>
        <v>0</v>
      </c>
      <c r="F33" s="13"/>
      <c r="G33" s="13"/>
      <c r="H33" s="13">
        <f t="shared" si="9"/>
        <v>0</v>
      </c>
    </row>
    <row r="34" spans="1:8" ht="15.75">
      <c r="A34" s="70"/>
      <c r="B34" s="71">
        <v>75113</v>
      </c>
      <c r="C34" s="72"/>
      <c r="D34" s="73" t="s">
        <v>426</v>
      </c>
      <c r="E34" s="74">
        <f>SUM(E35:E39)</f>
        <v>0</v>
      </c>
      <c r="F34" s="74">
        <f t="shared" ref="F34:H34" si="10">SUM(F35:F39)</f>
        <v>46829</v>
      </c>
      <c r="G34" s="74">
        <f t="shared" si="10"/>
        <v>0</v>
      </c>
      <c r="H34" s="74">
        <f t="shared" si="10"/>
        <v>46829</v>
      </c>
    </row>
    <row r="35" spans="1:8" ht="15.75">
      <c r="A35" s="9"/>
      <c r="B35" s="10"/>
      <c r="C35" s="11">
        <v>4110</v>
      </c>
      <c r="D35" s="12" t="s">
        <v>99</v>
      </c>
      <c r="E35" s="13"/>
      <c r="F35" s="13">
        <v>5673</v>
      </c>
      <c r="G35" s="13"/>
      <c r="H35" s="13">
        <f>E35+F35-G35</f>
        <v>5673</v>
      </c>
    </row>
    <row r="36" spans="1:8" ht="15.75">
      <c r="A36" s="9"/>
      <c r="B36" s="10"/>
      <c r="C36" s="11">
        <v>4120</v>
      </c>
      <c r="D36" s="12" t="s">
        <v>100</v>
      </c>
      <c r="E36" s="13"/>
      <c r="F36" s="13">
        <v>821</v>
      </c>
      <c r="G36" s="13"/>
      <c r="H36" s="13">
        <f t="shared" ref="H36:H39" si="11">E36+F36-G36</f>
        <v>821</v>
      </c>
    </row>
    <row r="37" spans="1:8" ht="15.75">
      <c r="A37" s="9"/>
      <c r="B37" s="10"/>
      <c r="C37" s="11">
        <v>4170</v>
      </c>
      <c r="D37" s="12" t="s">
        <v>101</v>
      </c>
      <c r="E37" s="13"/>
      <c r="F37" s="13">
        <v>33506</v>
      </c>
      <c r="G37" s="13"/>
      <c r="H37" s="13">
        <f t="shared" si="11"/>
        <v>33506</v>
      </c>
    </row>
    <row r="38" spans="1:8" ht="15.75">
      <c r="A38" s="9"/>
      <c r="B38" s="10"/>
      <c r="C38" s="11">
        <v>4210</v>
      </c>
      <c r="D38" s="12" t="s">
        <v>102</v>
      </c>
      <c r="E38" s="13"/>
      <c r="F38" s="13">
        <v>3829</v>
      </c>
      <c r="G38" s="13"/>
      <c r="H38" s="13">
        <f t="shared" si="11"/>
        <v>3829</v>
      </c>
    </row>
    <row r="39" spans="1:8" ht="15.75">
      <c r="A39" s="9"/>
      <c r="B39" s="10"/>
      <c r="C39" s="11">
        <v>4300</v>
      </c>
      <c r="D39" s="12" t="s">
        <v>93</v>
      </c>
      <c r="E39" s="13"/>
      <c r="F39" s="13">
        <v>3000</v>
      </c>
      <c r="G39" s="13"/>
      <c r="H39" s="13">
        <f t="shared" si="11"/>
        <v>3000</v>
      </c>
    </row>
    <row r="40" spans="1:8" ht="15.75">
      <c r="A40" s="9">
        <v>852</v>
      </c>
      <c r="B40" s="10"/>
      <c r="C40" s="11"/>
      <c r="D40" s="12" t="s">
        <v>67</v>
      </c>
      <c r="E40" s="13">
        <f>E41</f>
        <v>70145.689999999988</v>
      </c>
      <c r="F40" s="13">
        <f t="shared" ref="F40:H40" si="12">F41</f>
        <v>0</v>
      </c>
      <c r="G40" s="13">
        <f t="shared" si="12"/>
        <v>0</v>
      </c>
      <c r="H40" s="13">
        <f t="shared" si="12"/>
        <v>70145.689999999988</v>
      </c>
    </row>
    <row r="41" spans="1:8" ht="15.75">
      <c r="A41" s="44"/>
      <c r="B41" s="10">
        <v>85295</v>
      </c>
      <c r="C41" s="11"/>
      <c r="D41" s="12" t="s">
        <v>8</v>
      </c>
      <c r="E41" s="13">
        <f>SUM(E42:E44)</f>
        <v>70145.689999999988</v>
      </c>
      <c r="F41" s="13">
        <f t="shared" ref="F41:H41" si="13">SUM(F42:F44)</f>
        <v>0</v>
      </c>
      <c r="G41" s="13">
        <f t="shared" si="13"/>
        <v>0</v>
      </c>
      <c r="H41" s="13">
        <f t="shared" si="13"/>
        <v>70145.689999999988</v>
      </c>
    </row>
    <row r="42" spans="1:8" ht="15.75">
      <c r="A42" s="44"/>
      <c r="B42" s="10"/>
      <c r="C42" s="11">
        <v>3110</v>
      </c>
      <c r="D42" s="12" t="s">
        <v>161</v>
      </c>
      <c r="E42" s="13">
        <v>64464.4</v>
      </c>
      <c r="F42" s="13"/>
      <c r="G42" s="13"/>
      <c r="H42" s="13">
        <f>E42+F42-G42</f>
        <v>64464.4</v>
      </c>
    </row>
    <row r="43" spans="1:8" ht="15.75">
      <c r="A43" s="9"/>
      <c r="B43" s="10"/>
      <c r="C43" s="11">
        <v>4210</v>
      </c>
      <c r="D43" s="12" t="s">
        <v>161</v>
      </c>
      <c r="E43" s="13">
        <v>4392</v>
      </c>
      <c r="F43" s="13"/>
      <c r="G43" s="13"/>
      <c r="H43" s="13">
        <f>E43+F43-G43</f>
        <v>4392</v>
      </c>
    </row>
    <row r="44" spans="1:8" ht="15.75">
      <c r="A44" s="9"/>
      <c r="B44" s="10"/>
      <c r="C44" s="11">
        <v>4300</v>
      </c>
      <c r="D44" s="12" t="s">
        <v>93</v>
      </c>
      <c r="E44" s="13">
        <v>1289.29</v>
      </c>
      <c r="F44" s="13"/>
      <c r="G44" s="13"/>
      <c r="H44" s="13">
        <f>E44+F44-G44</f>
        <v>1289.29</v>
      </c>
    </row>
    <row r="45" spans="1:8" ht="15.75">
      <c r="A45" s="9">
        <v>855</v>
      </c>
      <c r="B45" s="10"/>
      <c r="C45" s="11"/>
      <c r="D45" s="12" t="s">
        <v>80</v>
      </c>
      <c r="E45" s="13">
        <f>+E46+E64+E62</f>
        <v>5582741</v>
      </c>
      <c r="F45" s="13">
        <f t="shared" ref="F45:H45" si="14">+F46+F64+F62</f>
        <v>0</v>
      </c>
      <c r="G45" s="13">
        <f t="shared" si="14"/>
        <v>0</v>
      </c>
      <c r="H45" s="13">
        <f t="shared" si="14"/>
        <v>5582741</v>
      </c>
    </row>
    <row r="46" spans="1:8" ht="30.75" customHeight="1">
      <c r="A46" s="9"/>
      <c r="B46" s="10">
        <v>85502</v>
      </c>
      <c r="C46" s="11"/>
      <c r="D46" s="92" t="s">
        <v>81</v>
      </c>
      <c r="E46" s="13">
        <f>SUM(E47:E61)</f>
        <v>5516142</v>
      </c>
      <c r="F46" s="13">
        <f t="shared" ref="F46:H46" si="15">SUM(F47:F61)</f>
        <v>0</v>
      </c>
      <c r="G46" s="13">
        <f t="shared" si="15"/>
        <v>0</v>
      </c>
      <c r="H46" s="13">
        <f t="shared" si="15"/>
        <v>5516142</v>
      </c>
    </row>
    <row r="47" spans="1:8" ht="15.75">
      <c r="A47" s="9"/>
      <c r="B47" s="10"/>
      <c r="C47" s="11">
        <v>3020</v>
      </c>
      <c r="D47" s="12" t="s">
        <v>119</v>
      </c>
      <c r="E47" s="13">
        <v>1000</v>
      </c>
      <c r="F47" s="13"/>
      <c r="G47" s="13"/>
      <c r="H47" s="13">
        <v>1000</v>
      </c>
    </row>
    <row r="48" spans="1:8" ht="15.75">
      <c r="A48" s="9"/>
      <c r="B48" s="10"/>
      <c r="C48" s="11">
        <v>3110</v>
      </c>
      <c r="D48" s="12" t="s">
        <v>161</v>
      </c>
      <c r="E48" s="13">
        <v>5355477.67</v>
      </c>
      <c r="F48" s="13"/>
      <c r="G48" s="13"/>
      <c r="H48" s="13">
        <v>5355477.67</v>
      </c>
    </row>
    <row r="49" spans="1:8" ht="15.75">
      <c r="A49" s="9"/>
      <c r="B49" s="10"/>
      <c r="C49" s="11">
        <v>4010</v>
      </c>
      <c r="D49" s="12" t="s">
        <v>116</v>
      </c>
      <c r="E49" s="13">
        <v>78048</v>
      </c>
      <c r="F49" s="13"/>
      <c r="G49" s="13"/>
      <c r="H49" s="13">
        <v>78048</v>
      </c>
    </row>
    <row r="50" spans="1:8" ht="15.75">
      <c r="A50" s="9"/>
      <c r="B50" s="10"/>
      <c r="C50" s="11">
        <v>4040</v>
      </c>
      <c r="D50" s="12" t="s">
        <v>120</v>
      </c>
      <c r="E50" s="13">
        <f>13000-1963</f>
        <v>11037</v>
      </c>
      <c r="F50" s="13"/>
      <c r="G50" s="13"/>
      <c r="H50" s="13">
        <f>E50+F50-G50</f>
        <v>11037</v>
      </c>
    </row>
    <row r="51" spans="1:8" ht="15.75">
      <c r="A51" s="9"/>
      <c r="B51" s="10"/>
      <c r="C51" s="11">
        <v>4110</v>
      </c>
      <c r="D51" s="12" t="s">
        <v>99</v>
      </c>
      <c r="E51" s="13">
        <v>14048</v>
      </c>
      <c r="F51" s="13"/>
      <c r="G51" s="13"/>
      <c r="H51" s="13">
        <v>14048</v>
      </c>
    </row>
    <row r="52" spans="1:8" ht="15.75">
      <c r="A52" s="9"/>
      <c r="B52" s="10"/>
      <c r="C52" s="11">
        <v>4120</v>
      </c>
      <c r="D52" s="12" t="s">
        <v>100</v>
      </c>
      <c r="E52" s="13">
        <v>2346.33</v>
      </c>
      <c r="F52" s="13"/>
      <c r="G52" s="13"/>
      <c r="H52" s="13">
        <v>2346.33</v>
      </c>
    </row>
    <row r="53" spans="1:8" ht="15.75">
      <c r="A53" s="9"/>
      <c r="B53" s="10"/>
      <c r="C53" s="11">
        <v>4210</v>
      </c>
      <c r="D53" s="12" t="s">
        <v>102</v>
      </c>
      <c r="E53" s="13">
        <v>5500</v>
      </c>
      <c r="F53" s="13"/>
      <c r="G53" s="13"/>
      <c r="H53" s="13">
        <v>5500</v>
      </c>
    </row>
    <row r="54" spans="1:8" ht="15.75">
      <c r="A54" s="9"/>
      <c r="B54" s="10"/>
      <c r="C54" s="11">
        <v>4280</v>
      </c>
      <c r="D54" s="12" t="s">
        <v>123</v>
      </c>
      <c r="E54" s="13">
        <v>300</v>
      </c>
      <c r="F54" s="13"/>
      <c r="G54" s="13"/>
      <c r="H54" s="13">
        <v>300</v>
      </c>
    </row>
    <row r="55" spans="1:8" ht="15.75">
      <c r="A55" s="9"/>
      <c r="B55" s="10"/>
      <c r="C55" s="11">
        <v>4300</v>
      </c>
      <c r="D55" s="12" t="s">
        <v>93</v>
      </c>
      <c r="E55" s="13">
        <v>15250</v>
      </c>
      <c r="F55" s="13"/>
      <c r="G55" s="13"/>
      <c r="H55" s="13">
        <v>15250</v>
      </c>
    </row>
    <row r="56" spans="1:8" ht="15.75">
      <c r="A56" s="9"/>
      <c r="B56" s="10"/>
      <c r="C56" s="11">
        <v>4360</v>
      </c>
      <c r="D56" s="12" t="s">
        <v>124</v>
      </c>
      <c r="E56" s="13">
        <v>6800</v>
      </c>
      <c r="F56" s="13"/>
      <c r="G56" s="13"/>
      <c r="H56" s="13">
        <v>6800</v>
      </c>
    </row>
    <row r="57" spans="1:8" ht="15.75">
      <c r="A57" s="9"/>
      <c r="B57" s="10"/>
      <c r="C57" s="11">
        <v>4410</v>
      </c>
      <c r="D57" s="12" t="s">
        <v>125</v>
      </c>
      <c r="E57" s="13">
        <v>1500</v>
      </c>
      <c r="F57" s="13"/>
      <c r="G57" s="13"/>
      <c r="H57" s="13">
        <v>1500</v>
      </c>
    </row>
    <row r="58" spans="1:8" ht="15.75">
      <c r="A58" s="9"/>
      <c r="B58" s="10"/>
      <c r="C58" s="11">
        <v>4430</v>
      </c>
      <c r="D58" s="12" t="s">
        <v>95</v>
      </c>
      <c r="E58" s="13">
        <v>16000</v>
      </c>
      <c r="F58" s="13"/>
      <c r="G58" s="13"/>
      <c r="H58" s="13">
        <v>16000</v>
      </c>
    </row>
    <row r="59" spans="1:8" ht="15.75">
      <c r="A59" s="9"/>
      <c r="B59" s="10"/>
      <c r="C59" s="11">
        <v>4440</v>
      </c>
      <c r="D59" s="12" t="s">
        <v>127</v>
      </c>
      <c r="E59" s="13">
        <f>2872+1963</f>
        <v>4835</v>
      </c>
      <c r="F59" s="13"/>
      <c r="G59" s="13"/>
      <c r="H59" s="13">
        <f>E59+F59-G59</f>
        <v>4835</v>
      </c>
    </row>
    <row r="60" spans="1:8" ht="15.75">
      <c r="A60" s="9"/>
      <c r="B60" s="10"/>
      <c r="C60" s="11">
        <v>4700</v>
      </c>
      <c r="D60" s="12" t="s">
        <v>128</v>
      </c>
      <c r="E60" s="13">
        <v>2000</v>
      </c>
      <c r="F60" s="13"/>
      <c r="G60" s="13"/>
      <c r="H60" s="13">
        <v>2000</v>
      </c>
    </row>
    <row r="61" spans="1:8" ht="15.75">
      <c r="A61" s="9"/>
      <c r="B61" s="10"/>
      <c r="C61" s="11">
        <v>4710</v>
      </c>
      <c r="D61" s="12" t="s">
        <v>103</v>
      </c>
      <c r="E61" s="13">
        <v>2000</v>
      </c>
      <c r="F61" s="13"/>
      <c r="G61" s="13"/>
      <c r="H61" s="13">
        <v>2000</v>
      </c>
    </row>
    <row r="62" spans="1:8" ht="15.75">
      <c r="A62" s="9"/>
      <c r="B62" s="10">
        <v>85503</v>
      </c>
      <c r="C62" s="11"/>
      <c r="D62" s="12" t="s">
        <v>354</v>
      </c>
      <c r="E62" s="13">
        <f>SUM(E63)</f>
        <v>898</v>
      </c>
      <c r="F62" s="13">
        <f>SUM(F63)</f>
        <v>0</v>
      </c>
      <c r="G62" s="13">
        <f>SUM(G63)</f>
        <v>0</v>
      </c>
      <c r="H62" s="13">
        <f>SUM(H63)</f>
        <v>898</v>
      </c>
    </row>
    <row r="63" spans="1:8" ht="15.75">
      <c r="A63" s="9"/>
      <c r="B63" s="10"/>
      <c r="C63" s="11">
        <v>4010</v>
      </c>
      <c r="D63" s="12" t="s">
        <v>116</v>
      </c>
      <c r="E63" s="13">
        <v>898</v>
      </c>
      <c r="F63" s="13"/>
      <c r="G63" s="13"/>
      <c r="H63" s="13">
        <f>E63+F63-G63</f>
        <v>898</v>
      </c>
    </row>
    <row r="64" spans="1:8" ht="30.75" customHeight="1">
      <c r="A64" s="9"/>
      <c r="B64" s="10">
        <v>85513</v>
      </c>
      <c r="C64" s="11"/>
      <c r="D64" s="12" t="s">
        <v>82</v>
      </c>
      <c r="E64" s="13">
        <f>E65</f>
        <v>65701</v>
      </c>
      <c r="F64" s="13">
        <f t="shared" ref="F64:H64" si="16">F65</f>
        <v>0</v>
      </c>
      <c r="G64" s="13">
        <f t="shared" si="16"/>
        <v>0</v>
      </c>
      <c r="H64" s="13">
        <f t="shared" si="16"/>
        <v>65701</v>
      </c>
    </row>
    <row r="65" spans="1:8" ht="15.75">
      <c r="A65" s="9"/>
      <c r="B65" s="10"/>
      <c r="C65" s="11">
        <v>4130</v>
      </c>
      <c r="D65" s="12" t="s">
        <v>160</v>
      </c>
      <c r="E65" s="13">
        <v>65701</v>
      </c>
      <c r="F65" s="13"/>
      <c r="G65" s="13"/>
      <c r="H65" s="13">
        <f>E65+F65-G65</f>
        <v>65701</v>
      </c>
    </row>
    <row r="66" spans="1:8" ht="18" customHeight="1">
      <c r="A66" s="82"/>
      <c r="B66" s="83"/>
      <c r="C66" s="84"/>
      <c r="D66" s="95" t="s">
        <v>91</v>
      </c>
      <c r="E66" s="96">
        <f>+E6+E20+E45+E40+E15</f>
        <v>6543082.7800000003</v>
      </c>
      <c r="F66" s="96">
        <f t="shared" ref="F66:H66" si="17">+F6+F20+F45+F40+F15</f>
        <v>46829</v>
      </c>
      <c r="G66" s="96">
        <f t="shared" si="17"/>
        <v>0</v>
      </c>
      <c r="H66" s="96">
        <f t="shared" si="17"/>
        <v>6589911.7800000003</v>
      </c>
    </row>
    <row r="67" spans="1:8" ht="9.75" customHeight="1">
      <c r="A67" s="85"/>
      <c r="B67" s="85"/>
      <c r="C67" s="85"/>
      <c r="D67" s="85"/>
      <c r="E67" s="85"/>
      <c r="F67" s="85"/>
    </row>
    <row r="68" spans="1:8" ht="9.75" customHeight="1">
      <c r="A68" s="85"/>
      <c r="B68" s="85"/>
      <c r="C68" s="85"/>
      <c r="D68" s="85"/>
      <c r="E68" s="85"/>
      <c r="F68" s="85"/>
    </row>
    <row r="69" spans="1:8" ht="9.75" customHeight="1">
      <c r="A69" s="85"/>
      <c r="B69" s="85"/>
      <c r="C69" s="85"/>
      <c r="D69" s="85"/>
      <c r="E69" s="85"/>
      <c r="F69" s="85"/>
    </row>
    <row r="70" spans="1:8" ht="9.75" customHeight="1">
      <c r="A70" s="85"/>
      <c r="B70" s="85"/>
      <c r="C70" s="85"/>
      <c r="D70" s="85"/>
      <c r="E70" s="85"/>
      <c r="F70" s="85"/>
    </row>
    <row r="71" spans="1:8" ht="9.75" customHeight="1">
      <c r="A71" s="85"/>
      <c r="B71" s="85"/>
      <c r="C71" s="85"/>
      <c r="D71" s="85"/>
      <c r="E71" s="85"/>
      <c r="F71" s="85"/>
    </row>
    <row r="72" spans="1:8" ht="9.75" customHeight="1">
      <c r="A72" s="85"/>
      <c r="B72" s="85"/>
      <c r="C72" s="85"/>
      <c r="D72" s="85"/>
      <c r="E72" s="85"/>
      <c r="F72" s="85"/>
    </row>
    <row r="73" spans="1:8" ht="9.75" customHeight="1">
      <c r="A73" s="85"/>
      <c r="B73" s="85"/>
      <c r="C73" s="85"/>
      <c r="D73" s="85"/>
      <c r="E73" s="85"/>
      <c r="F73" s="85"/>
    </row>
    <row r="74" spans="1:8" ht="9.75" customHeight="1">
      <c r="A74" s="85"/>
      <c r="B74" s="85"/>
      <c r="C74" s="85"/>
      <c r="D74" s="85"/>
      <c r="E74" s="85"/>
      <c r="F74" s="85"/>
    </row>
    <row r="75" spans="1:8" ht="9.75" customHeight="1">
      <c r="A75" s="85"/>
      <c r="B75" s="85"/>
      <c r="C75" s="85"/>
      <c r="D75" s="85"/>
      <c r="E75" s="85"/>
      <c r="F75" s="85"/>
    </row>
    <row r="76" spans="1:8" ht="9.75" customHeight="1">
      <c r="A76" s="85"/>
      <c r="B76" s="85"/>
      <c r="C76" s="85"/>
      <c r="D76" s="85"/>
      <c r="E76" s="85"/>
      <c r="F76" s="85"/>
    </row>
    <row r="77" spans="1:8" ht="9.75" customHeight="1">
      <c r="A77" s="85"/>
      <c r="B77" s="85"/>
      <c r="C77" s="85"/>
      <c r="D77" s="85"/>
      <c r="E77" s="85"/>
      <c r="F77" s="85"/>
    </row>
    <row r="78" spans="1:8" ht="18.75">
      <c r="A78" s="577" t="s">
        <v>191</v>
      </c>
      <c r="B78" s="578"/>
      <c r="C78" s="578"/>
      <c r="D78" s="578"/>
      <c r="E78" s="578"/>
      <c r="F78" s="104"/>
    </row>
    <row r="79" spans="1:8" ht="15.75">
      <c r="A79" s="97">
        <v>801</v>
      </c>
      <c r="B79" s="98"/>
      <c r="C79" s="99"/>
      <c r="D79" s="100" t="s">
        <v>58</v>
      </c>
      <c r="E79" s="101">
        <f>E82+E85+E80</f>
        <v>905000</v>
      </c>
      <c r="F79" s="101">
        <f t="shared" ref="F79:H79" si="18">F82+F85+F80</f>
        <v>0</v>
      </c>
      <c r="G79" s="101">
        <f t="shared" si="18"/>
        <v>0</v>
      </c>
      <c r="H79" s="101">
        <f t="shared" si="18"/>
        <v>905000</v>
      </c>
    </row>
    <row r="80" spans="1:8" ht="15.75">
      <c r="A80" s="9"/>
      <c r="B80" s="10">
        <v>80103</v>
      </c>
      <c r="C80" s="11"/>
      <c r="D80" s="12" t="s">
        <v>60</v>
      </c>
      <c r="E80" s="13">
        <f>E81</f>
        <v>30000</v>
      </c>
      <c r="F80" s="13">
        <f t="shared" ref="F80:H80" si="19">F81</f>
        <v>0</v>
      </c>
      <c r="G80" s="13">
        <f t="shared" si="19"/>
        <v>0</v>
      </c>
      <c r="H80" s="13">
        <f t="shared" si="19"/>
        <v>30000</v>
      </c>
    </row>
    <row r="81" spans="1:8" ht="31.5">
      <c r="A81" s="9"/>
      <c r="B81" s="10"/>
      <c r="C81" s="11">
        <v>2540</v>
      </c>
      <c r="D81" s="12" t="s">
        <v>142</v>
      </c>
      <c r="E81" s="13">
        <v>30000</v>
      </c>
      <c r="F81" s="13"/>
      <c r="G81" s="13"/>
      <c r="H81" s="13">
        <f>E81+F81-G81</f>
        <v>30000</v>
      </c>
    </row>
    <row r="82" spans="1:8" ht="15.75">
      <c r="A82" s="9"/>
      <c r="B82" s="10">
        <v>80104</v>
      </c>
      <c r="C82" s="11"/>
      <c r="D82" s="12" t="s">
        <v>62</v>
      </c>
      <c r="E82" s="13">
        <f>E83+E84</f>
        <v>850000</v>
      </c>
      <c r="F82" s="13">
        <f t="shared" ref="F82:H82" si="20">F83+F84</f>
        <v>0</v>
      </c>
      <c r="G82" s="13">
        <f t="shared" si="20"/>
        <v>0</v>
      </c>
      <c r="H82" s="13">
        <f t="shared" si="20"/>
        <v>850000</v>
      </c>
    </row>
    <row r="83" spans="1:8" ht="31.5">
      <c r="A83" s="9"/>
      <c r="B83" s="10"/>
      <c r="C83" s="11">
        <v>2540</v>
      </c>
      <c r="D83" s="12" t="s">
        <v>142</v>
      </c>
      <c r="E83" s="13">
        <v>325000</v>
      </c>
      <c r="F83" s="13"/>
      <c r="G83" s="13"/>
      <c r="H83" s="13">
        <v>325000</v>
      </c>
    </row>
    <row r="84" spans="1:8" ht="47.25">
      <c r="A84" s="9"/>
      <c r="B84" s="10"/>
      <c r="C84" s="11">
        <v>2590</v>
      </c>
      <c r="D84" s="12" t="s">
        <v>149</v>
      </c>
      <c r="E84" s="13">
        <v>525000</v>
      </c>
      <c r="F84" s="13"/>
      <c r="G84" s="13"/>
      <c r="H84" s="13">
        <v>525000</v>
      </c>
    </row>
    <row r="85" spans="1:8" ht="15.75">
      <c r="A85" s="9"/>
      <c r="B85" s="10">
        <v>80106</v>
      </c>
      <c r="C85" s="11"/>
      <c r="D85" s="12" t="s">
        <v>66</v>
      </c>
      <c r="E85" s="13">
        <f>E86</f>
        <v>25000</v>
      </c>
      <c r="F85" s="13">
        <f t="shared" ref="F85:H85" si="21">F86</f>
        <v>0</v>
      </c>
      <c r="G85" s="13">
        <f t="shared" si="21"/>
        <v>0</v>
      </c>
      <c r="H85" s="13">
        <f t="shared" si="21"/>
        <v>25000</v>
      </c>
    </row>
    <row r="86" spans="1:8" ht="31.5">
      <c r="A86" s="9"/>
      <c r="B86" s="10"/>
      <c r="C86" s="11">
        <v>2540</v>
      </c>
      <c r="D86" s="12" t="s">
        <v>142</v>
      </c>
      <c r="E86" s="13">
        <v>25000</v>
      </c>
      <c r="F86" s="13"/>
      <c r="G86" s="13"/>
      <c r="H86" s="13">
        <f>E86+F86-G86</f>
        <v>25000</v>
      </c>
    </row>
    <row r="87" spans="1:8" ht="15.75">
      <c r="A87" s="9">
        <v>926</v>
      </c>
      <c r="B87" s="10"/>
      <c r="C87" s="11"/>
      <c r="D87" s="12" t="s">
        <v>89</v>
      </c>
      <c r="E87" s="13">
        <f>E88</f>
        <v>20000</v>
      </c>
      <c r="F87" s="13">
        <f t="shared" ref="F87:H88" si="22">F88</f>
        <v>0</v>
      </c>
      <c r="G87" s="13">
        <f t="shared" si="22"/>
        <v>0</v>
      </c>
      <c r="H87" s="13">
        <f t="shared" si="22"/>
        <v>20000</v>
      </c>
    </row>
    <row r="88" spans="1:8" ht="15.75">
      <c r="A88" s="9"/>
      <c r="B88" s="10">
        <v>92695</v>
      </c>
      <c r="C88" s="11"/>
      <c r="D88" s="12" t="s">
        <v>8</v>
      </c>
      <c r="E88" s="13">
        <f>E89</f>
        <v>20000</v>
      </c>
      <c r="F88" s="13">
        <f t="shared" si="22"/>
        <v>0</v>
      </c>
      <c r="G88" s="13">
        <f t="shared" si="22"/>
        <v>0</v>
      </c>
      <c r="H88" s="13">
        <f t="shared" si="22"/>
        <v>20000</v>
      </c>
    </row>
    <row r="89" spans="1:8" ht="15.75">
      <c r="A89" s="9"/>
      <c r="B89" s="10"/>
      <c r="C89" s="11">
        <v>4300</v>
      </c>
      <c r="D89" s="12" t="s">
        <v>93</v>
      </c>
      <c r="E89" s="13">
        <v>20000</v>
      </c>
      <c r="F89" s="13"/>
      <c r="G89" s="13"/>
      <c r="H89" s="13">
        <f>E89+F89-G89</f>
        <v>20000</v>
      </c>
    </row>
    <row r="90" spans="1:8" ht="18.75">
      <c r="A90" s="9"/>
      <c r="B90" s="10"/>
      <c r="C90" s="11"/>
      <c r="D90" s="95" t="s">
        <v>91</v>
      </c>
      <c r="E90" s="96">
        <f>E87+E79</f>
        <v>925000</v>
      </c>
      <c r="F90" s="96">
        <f t="shared" ref="F90:H90" si="23">F87+F79</f>
        <v>0</v>
      </c>
      <c r="G90" s="96">
        <f t="shared" si="23"/>
        <v>0</v>
      </c>
      <c r="H90" s="96">
        <f t="shared" si="23"/>
        <v>925000</v>
      </c>
    </row>
  </sheetData>
  <mergeCells count="2">
    <mergeCell ref="A78:E78"/>
    <mergeCell ref="A1:H1"/>
  </mergeCells>
  <conditionalFormatting sqref="A78">
    <cfRule type="expression" dxfId="227" priority="88" stopIfTrue="1">
      <formula>$A78 = "OGÓŁEM:"</formula>
    </cfRule>
    <cfRule type="expression" dxfId="226" priority="89" stopIfTrue="1">
      <formula>LEN(#REF!)&gt;1</formula>
    </cfRule>
    <cfRule type="expression" dxfId="225" priority="90" stopIfTrue="1">
      <formula>LEN(#REF!)&gt;1</formula>
    </cfRule>
  </conditionalFormatting>
  <conditionalFormatting sqref="A6:H63">
    <cfRule type="expression" dxfId="224" priority="1" stopIfTrue="1">
      <formula>$D6 = "OGÓŁEM:"</formula>
    </cfRule>
    <cfRule type="expression" dxfId="223" priority="2" stopIfTrue="1">
      <formula>LEN($A6)&gt;1</formula>
    </cfRule>
    <cfRule type="expression" dxfId="222" priority="3" stopIfTrue="1">
      <formula>LEN($B6)&gt;1</formula>
    </cfRule>
  </conditionalFormatting>
  <conditionalFormatting sqref="F64:H66 A64:E77 F79:H90 A79:E460">
    <cfRule type="expression" dxfId="221" priority="31" stopIfTrue="1">
      <formula>$D64 = "OGÓŁEM:"</formula>
    </cfRule>
    <cfRule type="expression" dxfId="220" priority="32" stopIfTrue="1">
      <formula>LEN($A64)&gt;1</formula>
    </cfRule>
    <cfRule type="expression" dxfId="219" priority="33" stopIfTrue="1">
      <formula>LEN($B64)&gt;1</formula>
    </cfRule>
  </conditionalFormatting>
  <pageMargins left="0.11811023622047245" right="0.11811023622047245" top="0.74803149606299213" bottom="0.74803149606299213" header="0.31496062992125984" footer="0.31496062992125984"/>
  <pageSetup paperSize="9" scale="65" fitToWidth="0" fitToHeight="0" orientation="portrait" r:id="rId1"/>
  <headerFooter>
    <oddHeader xml:space="preserve">&amp;RZałącznik Nr 2a
do Zarządzenia Nr 821/2024  
Wójta Gminy Komorniki z dnia 29 kwietnia 2024r.    
w sprawie uchwały budżetowej na 2024r.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5"/>
  <dimension ref="A1:H83"/>
  <sheetViews>
    <sheetView topLeftCell="A13" zoomScale="75" zoomScaleNormal="75" zoomScaleSheetLayoutView="75" workbookViewId="0">
      <selection activeCell="D38" sqref="D38"/>
    </sheetView>
  </sheetViews>
  <sheetFormatPr defaultRowHeight="15"/>
  <cols>
    <col min="1" max="1" width="6.140625" customWidth="1"/>
    <col min="2" max="2" width="7.42578125" customWidth="1"/>
    <col min="3" max="3" width="6.5703125" customWidth="1"/>
    <col min="4" max="4" width="64" customWidth="1"/>
    <col min="5" max="5" width="16.140625" customWidth="1"/>
    <col min="6" max="6" width="15" customWidth="1"/>
    <col min="7" max="7" width="16.28515625" customWidth="1"/>
    <col min="8" max="8" width="16.140625" customWidth="1"/>
  </cols>
  <sheetData>
    <row r="1" spans="1:8" ht="27.75" customHeight="1">
      <c r="A1" s="581" t="s">
        <v>313</v>
      </c>
      <c r="B1" s="581"/>
      <c r="C1" s="581"/>
      <c r="D1" s="581"/>
      <c r="E1" s="581"/>
      <c r="F1" s="582"/>
      <c r="G1" s="582"/>
      <c r="H1" s="582"/>
    </row>
    <row r="2" spans="1:8" ht="9.75" customHeight="1">
      <c r="A2" s="179"/>
      <c r="B2" s="179"/>
      <c r="C2" s="179"/>
      <c r="D2" s="179"/>
      <c r="E2" s="179"/>
    </row>
    <row r="3" spans="1:8" ht="59.25" customHeight="1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244" t="s">
        <v>326</v>
      </c>
      <c r="G3" s="244" t="s">
        <v>327</v>
      </c>
      <c r="H3" s="244" t="s">
        <v>328</v>
      </c>
    </row>
    <row r="4" spans="1:8">
      <c r="A4" s="5">
        <v>1</v>
      </c>
      <c r="B4" s="6">
        <v>2</v>
      </c>
      <c r="C4" s="6">
        <v>3</v>
      </c>
      <c r="D4" s="6">
        <v>4</v>
      </c>
      <c r="E4" s="6">
        <v>5</v>
      </c>
      <c r="F4" s="245">
        <v>6</v>
      </c>
      <c r="G4" s="245">
        <v>7</v>
      </c>
      <c r="H4" s="245">
        <v>8</v>
      </c>
    </row>
    <row r="5" spans="1:8" ht="15.75" hidden="1" customHeight="1">
      <c r="A5" s="7"/>
      <c r="B5" s="8"/>
      <c r="C5" s="8"/>
      <c r="D5" s="8"/>
      <c r="E5" s="8"/>
    </row>
    <row r="6" spans="1:8" ht="15.75">
      <c r="A6" s="9">
        <v>10</v>
      </c>
      <c r="B6" s="10"/>
      <c r="C6" s="11"/>
      <c r="D6" s="12" t="s">
        <v>5</v>
      </c>
      <c r="E6" s="13">
        <f>E7+E9</f>
        <v>299000</v>
      </c>
      <c r="F6" s="13">
        <f t="shared" ref="F6:H6" si="0">F7+F9</f>
        <v>0</v>
      </c>
      <c r="G6" s="13">
        <f t="shared" si="0"/>
        <v>0</v>
      </c>
      <c r="H6" s="13">
        <f t="shared" si="0"/>
        <v>299000</v>
      </c>
    </row>
    <row r="7" spans="1:8" ht="15.75">
      <c r="A7" s="9"/>
      <c r="B7" s="10">
        <v>1008</v>
      </c>
      <c r="C7" s="11"/>
      <c r="D7" s="12" t="s">
        <v>92</v>
      </c>
      <c r="E7" s="13">
        <f>E8</f>
        <v>99000</v>
      </c>
      <c r="F7" s="13">
        <f t="shared" ref="F7:H7" si="1">F8</f>
        <v>0</v>
      </c>
      <c r="G7" s="13">
        <f t="shared" si="1"/>
        <v>0</v>
      </c>
      <c r="H7" s="13">
        <f t="shared" si="1"/>
        <v>99000</v>
      </c>
    </row>
    <row r="8" spans="1:8" ht="15.75">
      <c r="A8" s="9"/>
      <c r="B8" s="10"/>
      <c r="C8" s="11">
        <v>6050</v>
      </c>
      <c r="D8" s="12" t="s">
        <v>98</v>
      </c>
      <c r="E8" s="13">
        <v>99000</v>
      </c>
      <c r="F8" s="13"/>
      <c r="G8" s="13"/>
      <c r="H8" s="13">
        <f>E8+F8-G8</f>
        <v>99000</v>
      </c>
    </row>
    <row r="9" spans="1:8" ht="15.75">
      <c r="A9" s="9"/>
      <c r="B9" s="10">
        <v>1044</v>
      </c>
      <c r="C9" s="11"/>
      <c r="D9" s="12" t="s">
        <v>6</v>
      </c>
      <c r="E9" s="13">
        <f>E10</f>
        <v>200000</v>
      </c>
      <c r="F9" s="13">
        <f t="shared" ref="F9:H9" si="2">F10</f>
        <v>0</v>
      </c>
      <c r="G9" s="13">
        <f t="shared" si="2"/>
        <v>0</v>
      </c>
      <c r="H9" s="13">
        <f t="shared" si="2"/>
        <v>200000</v>
      </c>
    </row>
    <row r="10" spans="1:8" ht="15.75">
      <c r="A10" s="9"/>
      <c r="B10" s="10"/>
      <c r="C10" s="11">
        <v>6050</v>
      </c>
      <c r="D10" s="12" t="s">
        <v>98</v>
      </c>
      <c r="E10" s="13">
        <v>200000</v>
      </c>
      <c r="F10" s="13"/>
      <c r="G10" s="13"/>
      <c r="H10" s="13">
        <f>E10+F10-G10</f>
        <v>200000</v>
      </c>
    </row>
    <row r="11" spans="1:8" ht="15.75">
      <c r="A11" s="9">
        <v>600</v>
      </c>
      <c r="B11" s="10"/>
      <c r="C11" s="11"/>
      <c r="D11" s="12" t="s">
        <v>12</v>
      </c>
      <c r="E11" s="13">
        <f>E12+E15+E18</f>
        <v>31216902</v>
      </c>
      <c r="F11" s="13">
        <f t="shared" ref="F11:H11" si="3">F12+F15+F18</f>
        <v>1612000</v>
      </c>
      <c r="G11" s="13">
        <f t="shared" si="3"/>
        <v>0</v>
      </c>
      <c r="H11" s="13">
        <f t="shared" si="3"/>
        <v>32828902</v>
      </c>
    </row>
    <row r="12" spans="1:8" ht="15.75">
      <c r="A12" s="9"/>
      <c r="B12" s="10">
        <v>60004</v>
      </c>
      <c r="C12" s="11"/>
      <c r="D12" s="12" t="s">
        <v>14</v>
      </c>
      <c r="E12" s="13">
        <f>SUM(E13:E14)</f>
        <v>56434</v>
      </c>
      <c r="F12" s="13">
        <f t="shared" ref="F12:H12" si="4">SUM(F13:F14)</f>
        <v>1000000</v>
      </c>
      <c r="G12" s="13">
        <f t="shared" si="4"/>
        <v>0</v>
      </c>
      <c r="H12" s="13">
        <f t="shared" si="4"/>
        <v>1056434</v>
      </c>
    </row>
    <row r="13" spans="1:8" ht="63">
      <c r="A13" s="9"/>
      <c r="B13" s="10"/>
      <c r="C13" s="11">
        <v>6650</v>
      </c>
      <c r="D13" s="12" t="s">
        <v>207</v>
      </c>
      <c r="E13" s="13">
        <v>56434</v>
      </c>
      <c r="F13" s="13"/>
      <c r="G13" s="13"/>
      <c r="H13" s="13">
        <f>E13+F13-G13</f>
        <v>56434</v>
      </c>
    </row>
    <row r="14" spans="1:8" ht="15.75">
      <c r="A14" s="9"/>
      <c r="B14" s="10"/>
      <c r="C14" s="72">
        <v>6010</v>
      </c>
      <c r="D14" s="73" t="s">
        <v>434</v>
      </c>
      <c r="E14" s="13"/>
      <c r="F14" s="13">
        <v>1000000</v>
      </c>
      <c r="G14" s="13"/>
      <c r="H14" s="13">
        <f>E14+F14-G14</f>
        <v>1000000</v>
      </c>
    </row>
    <row r="15" spans="1:8" ht="15.75">
      <c r="A15" s="9"/>
      <c r="B15" s="10">
        <v>60014</v>
      </c>
      <c r="C15" s="11"/>
      <c r="D15" s="12" t="s">
        <v>15</v>
      </c>
      <c r="E15" s="13">
        <f>SUM(E16:E17)</f>
        <v>2731668</v>
      </c>
      <c r="F15" s="13">
        <f t="shared" ref="F15:H15" si="5">SUM(F16:F17)</f>
        <v>0</v>
      </c>
      <c r="G15" s="13">
        <f t="shared" si="5"/>
        <v>0</v>
      </c>
      <c r="H15" s="13">
        <f t="shared" si="5"/>
        <v>2731668</v>
      </c>
    </row>
    <row r="16" spans="1:8" ht="15.75">
      <c r="A16" s="9"/>
      <c r="B16" s="10"/>
      <c r="C16" s="11">
        <v>6050</v>
      </c>
      <c r="D16" s="12" t="s">
        <v>98</v>
      </c>
      <c r="E16" s="13">
        <f>3415000-2000000+120000+70000</f>
        <v>1605000</v>
      </c>
      <c r="F16" s="13"/>
      <c r="G16" s="13"/>
      <c r="H16" s="13">
        <f>E16+F16-G16</f>
        <v>1605000</v>
      </c>
    </row>
    <row r="17" spans="1:8" ht="47.25">
      <c r="A17" s="9"/>
      <c r="B17" s="10"/>
      <c r="C17" s="11">
        <v>6300</v>
      </c>
      <c r="D17" s="12" t="s">
        <v>109</v>
      </c>
      <c r="E17" s="13">
        <f>150000-120000+1096668</f>
        <v>1126668</v>
      </c>
      <c r="F17" s="13"/>
      <c r="G17" s="13"/>
      <c r="H17" s="13">
        <f>E17+F17-G17</f>
        <v>1126668</v>
      </c>
    </row>
    <row r="18" spans="1:8" ht="15.75">
      <c r="A18" s="9"/>
      <c r="B18" s="10">
        <v>60016</v>
      </c>
      <c r="C18" s="11"/>
      <c r="D18" s="12" t="s">
        <v>16</v>
      </c>
      <c r="E18" s="13">
        <f>SUM(E19:E20)</f>
        <v>28428800</v>
      </c>
      <c r="F18" s="13">
        <f t="shared" ref="F18:H18" si="6">SUM(F19:F20)</f>
        <v>612000</v>
      </c>
      <c r="G18" s="13">
        <f t="shared" si="6"/>
        <v>0</v>
      </c>
      <c r="H18" s="13">
        <f t="shared" si="6"/>
        <v>29040800</v>
      </c>
    </row>
    <row r="19" spans="1:8" ht="15.75">
      <c r="A19" s="9"/>
      <c r="B19" s="10"/>
      <c r="C19" s="89">
        <v>6050</v>
      </c>
      <c r="D19" s="90" t="s">
        <v>98</v>
      </c>
      <c r="E19" s="91">
        <f>21690000+10000+957800+2000000+600000+1000+170000</f>
        <v>25428800</v>
      </c>
      <c r="F19" s="91">
        <v>612000</v>
      </c>
      <c r="G19" s="91"/>
      <c r="H19" s="91">
        <f>E19+F19-G19</f>
        <v>26040800</v>
      </c>
    </row>
    <row r="20" spans="1:8" ht="47.25">
      <c r="A20" s="9"/>
      <c r="B20" s="10"/>
      <c r="C20" s="11">
        <v>6370</v>
      </c>
      <c r="D20" s="12" t="s">
        <v>218</v>
      </c>
      <c r="E20" s="13">
        <v>3000000</v>
      </c>
      <c r="F20" s="13"/>
      <c r="G20" s="13"/>
      <c r="H20" s="91">
        <f>E20+F20-G20</f>
        <v>3000000</v>
      </c>
    </row>
    <row r="21" spans="1:8" ht="15.75">
      <c r="A21" s="9">
        <v>700</v>
      </c>
      <c r="B21" s="10"/>
      <c r="C21" s="11"/>
      <c r="D21" s="12" t="s">
        <v>18</v>
      </c>
      <c r="E21" s="13">
        <f>E22+E25+E27</f>
        <v>6513332</v>
      </c>
      <c r="F21" s="13">
        <f t="shared" ref="F21:H21" si="7">F22+F25+F27</f>
        <v>1696668</v>
      </c>
      <c r="G21" s="13">
        <f t="shared" si="7"/>
        <v>100000</v>
      </c>
      <c r="H21" s="13">
        <f t="shared" si="7"/>
        <v>8110000</v>
      </c>
    </row>
    <row r="22" spans="1:8" ht="15.75">
      <c r="A22" s="9"/>
      <c r="B22" s="10">
        <v>70005</v>
      </c>
      <c r="C22" s="11"/>
      <c r="D22" s="12" t="s">
        <v>21</v>
      </c>
      <c r="E22" s="13">
        <f>SUM(E23:E24)</f>
        <v>2743332</v>
      </c>
      <c r="F22" s="13">
        <f t="shared" ref="F22:H22" si="8">SUM(F23:F24)</f>
        <v>1696668</v>
      </c>
      <c r="G22" s="13">
        <f t="shared" si="8"/>
        <v>100000</v>
      </c>
      <c r="H22" s="13">
        <f t="shared" si="8"/>
        <v>4340000</v>
      </c>
    </row>
    <row r="23" spans="1:8" ht="15.75">
      <c r="A23" s="9"/>
      <c r="B23" s="10"/>
      <c r="C23" s="11">
        <v>6050</v>
      </c>
      <c r="D23" s="12" t="s">
        <v>98</v>
      </c>
      <c r="E23" s="13">
        <v>650000</v>
      </c>
      <c r="F23" s="13"/>
      <c r="G23" s="13">
        <v>100000</v>
      </c>
      <c r="H23" s="13">
        <f>E23+F23-G23</f>
        <v>550000</v>
      </c>
    </row>
    <row r="24" spans="1:8" ht="15.75">
      <c r="A24" s="9"/>
      <c r="B24" s="10"/>
      <c r="C24" s="11">
        <v>6060</v>
      </c>
      <c r="D24" s="12" t="s">
        <v>112</v>
      </c>
      <c r="E24" s="13">
        <f>5790000-2000000-1696668</f>
        <v>2093332</v>
      </c>
      <c r="F24" s="13">
        <v>1696668</v>
      </c>
      <c r="G24" s="13"/>
      <c r="H24" s="13">
        <f>E24+F24-G24</f>
        <v>3790000</v>
      </c>
    </row>
    <row r="25" spans="1:8" ht="15.75">
      <c r="A25" s="9"/>
      <c r="B25" s="10">
        <v>70007</v>
      </c>
      <c r="C25" s="11"/>
      <c r="D25" s="12" t="s">
        <v>24</v>
      </c>
      <c r="E25" s="13">
        <f>E26</f>
        <v>70000</v>
      </c>
      <c r="F25" s="13">
        <f t="shared" ref="F25:H25" si="9">F26</f>
        <v>0</v>
      </c>
      <c r="G25" s="13">
        <f t="shared" si="9"/>
        <v>0</v>
      </c>
      <c r="H25" s="13">
        <f t="shared" si="9"/>
        <v>70000</v>
      </c>
    </row>
    <row r="26" spans="1:8" ht="15.75">
      <c r="A26" s="9"/>
      <c r="B26" s="10"/>
      <c r="C26" s="11">
        <v>6050</v>
      </c>
      <c r="D26" s="12" t="s">
        <v>98</v>
      </c>
      <c r="E26" s="13">
        <v>70000</v>
      </c>
      <c r="F26" s="13"/>
      <c r="G26" s="13"/>
      <c r="H26" s="13">
        <f>E26+F26-G26</f>
        <v>70000</v>
      </c>
    </row>
    <row r="27" spans="1:8" ht="15.75">
      <c r="A27" s="9"/>
      <c r="B27" s="10">
        <v>70095</v>
      </c>
      <c r="C27" s="11"/>
      <c r="D27" s="12" t="s">
        <v>8</v>
      </c>
      <c r="E27" s="13">
        <f>E28</f>
        <v>3700000</v>
      </c>
      <c r="F27" s="13">
        <f t="shared" ref="F27:H27" si="10">F28</f>
        <v>0</v>
      </c>
      <c r="G27" s="13">
        <f t="shared" si="10"/>
        <v>0</v>
      </c>
      <c r="H27" s="13">
        <f t="shared" si="10"/>
        <v>3700000</v>
      </c>
    </row>
    <row r="28" spans="1:8" ht="15.75">
      <c r="A28" s="9"/>
      <c r="B28" s="10"/>
      <c r="C28" s="11">
        <v>6050</v>
      </c>
      <c r="D28" s="12" t="s">
        <v>98</v>
      </c>
      <c r="E28" s="13">
        <v>3700000</v>
      </c>
      <c r="F28" s="13"/>
      <c r="G28" s="13"/>
      <c r="H28" s="13">
        <f>E28+F28-G28</f>
        <v>3700000</v>
      </c>
    </row>
    <row r="29" spans="1:8" ht="15.75">
      <c r="A29" s="9">
        <v>710</v>
      </c>
      <c r="B29" s="10"/>
      <c r="C29" s="11"/>
      <c r="D29" s="12" t="s">
        <v>26</v>
      </c>
      <c r="E29" s="13">
        <f>E30</f>
        <v>390000</v>
      </c>
      <c r="F29" s="13">
        <f t="shared" ref="F29:H30" si="11">F30</f>
        <v>0</v>
      </c>
      <c r="G29" s="13">
        <f t="shared" si="11"/>
        <v>0</v>
      </c>
      <c r="H29" s="13">
        <f t="shared" si="11"/>
        <v>390000</v>
      </c>
    </row>
    <row r="30" spans="1:8" ht="15.75">
      <c r="A30" s="9"/>
      <c r="B30" s="10">
        <v>71004</v>
      </c>
      <c r="C30" s="11"/>
      <c r="D30" s="12" t="s">
        <v>113</v>
      </c>
      <c r="E30" s="13">
        <f>E31</f>
        <v>390000</v>
      </c>
      <c r="F30" s="13">
        <f t="shared" si="11"/>
        <v>0</v>
      </c>
      <c r="G30" s="13">
        <f t="shared" si="11"/>
        <v>0</v>
      </c>
      <c r="H30" s="13">
        <f t="shared" si="11"/>
        <v>390000</v>
      </c>
    </row>
    <row r="31" spans="1:8" ht="15.75">
      <c r="A31" s="9"/>
      <c r="B31" s="10"/>
      <c r="C31" s="11">
        <v>6050</v>
      </c>
      <c r="D31" s="12" t="s">
        <v>98</v>
      </c>
      <c r="E31" s="13">
        <v>390000</v>
      </c>
      <c r="F31" s="13"/>
      <c r="G31" s="13"/>
      <c r="H31" s="13">
        <f>E31+F31-G31</f>
        <v>390000</v>
      </c>
    </row>
    <row r="32" spans="1:8" ht="15.75">
      <c r="A32" s="9">
        <v>750</v>
      </c>
      <c r="B32" s="10"/>
      <c r="C32" s="11"/>
      <c r="D32" s="12" t="s">
        <v>28</v>
      </c>
      <c r="E32" s="13">
        <f>E33+E36</f>
        <v>1261904</v>
      </c>
      <c r="F32" s="13">
        <f t="shared" ref="F32:H32" si="12">F33+F36</f>
        <v>30000</v>
      </c>
      <c r="G32" s="13">
        <f t="shared" si="12"/>
        <v>0</v>
      </c>
      <c r="H32" s="13">
        <f t="shared" si="12"/>
        <v>1291904</v>
      </c>
    </row>
    <row r="33" spans="1:8" ht="15.75">
      <c r="A33" s="9"/>
      <c r="B33" s="10">
        <v>75023</v>
      </c>
      <c r="C33" s="11"/>
      <c r="D33" s="12" t="s">
        <v>30</v>
      </c>
      <c r="E33" s="13">
        <f>SUM(E34:E35)</f>
        <v>250000</v>
      </c>
      <c r="F33" s="13">
        <f t="shared" ref="F33:H33" si="13">SUM(F34:F35)</f>
        <v>0</v>
      </c>
      <c r="G33" s="13">
        <f t="shared" si="13"/>
        <v>0</v>
      </c>
      <c r="H33" s="13">
        <f t="shared" si="13"/>
        <v>250000</v>
      </c>
    </row>
    <row r="34" spans="1:8" ht="15.75">
      <c r="A34" s="9"/>
      <c r="B34" s="10"/>
      <c r="C34" s="11">
        <v>6050</v>
      </c>
      <c r="D34" s="12" t="s">
        <v>98</v>
      </c>
      <c r="E34" s="13">
        <v>100000</v>
      </c>
      <c r="F34" s="13"/>
      <c r="G34" s="13"/>
      <c r="H34" s="13">
        <f>E34+F34-G34</f>
        <v>100000</v>
      </c>
    </row>
    <row r="35" spans="1:8" ht="15.75">
      <c r="A35" s="9"/>
      <c r="B35" s="10"/>
      <c r="C35" s="11">
        <v>6060</v>
      </c>
      <c r="D35" s="12" t="s">
        <v>112</v>
      </c>
      <c r="E35" s="13">
        <v>150000</v>
      </c>
      <c r="F35" s="13"/>
      <c r="G35" s="13"/>
      <c r="H35" s="13">
        <f>E35+F35-G35</f>
        <v>150000</v>
      </c>
    </row>
    <row r="36" spans="1:8" ht="15.75">
      <c r="A36" s="9"/>
      <c r="B36" s="10">
        <v>75095</v>
      </c>
      <c r="C36" s="11"/>
      <c r="D36" s="12" t="s">
        <v>8</v>
      </c>
      <c r="E36" s="13">
        <f>SUM(E37:E38)</f>
        <v>1011904</v>
      </c>
      <c r="F36" s="13">
        <f t="shared" ref="F36:H36" si="14">SUM(F37:F38)</f>
        <v>30000</v>
      </c>
      <c r="G36" s="13">
        <f t="shared" si="14"/>
        <v>0</v>
      </c>
      <c r="H36" s="13">
        <f t="shared" si="14"/>
        <v>1041904</v>
      </c>
    </row>
    <row r="37" spans="1:8" ht="15.75">
      <c r="A37" s="9"/>
      <c r="B37" s="10"/>
      <c r="C37" s="11">
        <v>6067</v>
      </c>
      <c r="D37" s="12" t="s">
        <v>112</v>
      </c>
      <c r="E37" s="13">
        <v>756500</v>
      </c>
      <c r="F37" s="13"/>
      <c r="G37" s="13"/>
      <c r="H37" s="13">
        <f>E37+F37-G37</f>
        <v>756500</v>
      </c>
    </row>
    <row r="38" spans="1:8" ht="15.75">
      <c r="A38" s="9"/>
      <c r="B38" s="10"/>
      <c r="C38" s="11">
        <v>6069</v>
      </c>
      <c r="D38" s="12" t="s">
        <v>112</v>
      </c>
      <c r="E38" s="13">
        <v>255404</v>
      </c>
      <c r="F38" s="13">
        <v>30000</v>
      </c>
      <c r="G38" s="13"/>
      <c r="H38" s="13">
        <f>E38+F38-G38</f>
        <v>285404</v>
      </c>
    </row>
    <row r="39" spans="1:8" ht="15.75">
      <c r="A39" s="9">
        <v>754</v>
      </c>
      <c r="B39" s="10"/>
      <c r="C39" s="11"/>
      <c r="D39" s="12" t="s">
        <v>34</v>
      </c>
      <c r="E39" s="13">
        <f>+E42+E46+E44+E40</f>
        <v>823500</v>
      </c>
      <c r="F39" s="13">
        <f t="shared" ref="F39:H39" si="15">+F42+F46+F44+F40</f>
        <v>389000</v>
      </c>
      <c r="G39" s="13">
        <f t="shared" si="15"/>
        <v>0</v>
      </c>
      <c r="H39" s="13">
        <f t="shared" si="15"/>
        <v>1212500</v>
      </c>
    </row>
    <row r="40" spans="1:8" ht="15.75">
      <c r="A40" s="9"/>
      <c r="B40" s="10">
        <v>75410</v>
      </c>
      <c r="C40" s="11"/>
      <c r="D40" s="12" t="s">
        <v>459</v>
      </c>
      <c r="E40" s="13">
        <f>E41</f>
        <v>0</v>
      </c>
      <c r="F40" s="13">
        <f t="shared" ref="F40:H42" si="16">F41</f>
        <v>39000</v>
      </c>
      <c r="G40" s="13">
        <f t="shared" si="16"/>
        <v>0</v>
      </c>
      <c r="H40" s="13">
        <f t="shared" si="16"/>
        <v>39000</v>
      </c>
    </row>
    <row r="41" spans="1:8" ht="31.5">
      <c r="A41" s="9"/>
      <c r="B41" s="10"/>
      <c r="C41" s="11">
        <v>6170</v>
      </c>
      <c r="D41" s="73" t="s">
        <v>448</v>
      </c>
      <c r="E41" s="13"/>
      <c r="F41" s="13">
        <v>39000</v>
      </c>
      <c r="G41" s="13"/>
      <c r="H41" s="13">
        <f>E41+F41-G41</f>
        <v>39000</v>
      </c>
    </row>
    <row r="42" spans="1:8" ht="15.75">
      <c r="A42" s="9"/>
      <c r="B42" s="10">
        <v>75414</v>
      </c>
      <c r="C42" s="11"/>
      <c r="D42" s="12" t="s">
        <v>133</v>
      </c>
      <c r="E42" s="13">
        <f>E43</f>
        <v>20000</v>
      </c>
      <c r="F42" s="13">
        <f t="shared" si="16"/>
        <v>0</v>
      </c>
      <c r="G42" s="13">
        <f t="shared" si="16"/>
        <v>0</v>
      </c>
      <c r="H42" s="13">
        <f t="shared" si="16"/>
        <v>20000</v>
      </c>
    </row>
    <row r="43" spans="1:8" ht="15.75">
      <c r="A43" s="9"/>
      <c r="B43" s="10"/>
      <c r="C43" s="11">
        <v>6060</v>
      </c>
      <c r="D43" s="12" t="s">
        <v>112</v>
      </c>
      <c r="E43" s="13">
        <v>20000</v>
      </c>
      <c r="F43" s="13"/>
      <c r="G43" s="13"/>
      <c r="H43" s="13">
        <f>E43+F43-G43</f>
        <v>20000</v>
      </c>
    </row>
    <row r="44" spans="1:8" ht="15.75">
      <c r="A44" s="9"/>
      <c r="B44" s="10">
        <v>75416</v>
      </c>
      <c r="C44" s="11"/>
      <c r="D44" s="12" t="s">
        <v>35</v>
      </c>
      <c r="E44" s="13">
        <f>E45</f>
        <v>193500</v>
      </c>
      <c r="F44" s="13">
        <f t="shared" ref="F44:H44" si="17">F45</f>
        <v>0</v>
      </c>
      <c r="G44" s="13">
        <f t="shared" si="17"/>
        <v>0</v>
      </c>
      <c r="H44" s="13">
        <f t="shared" si="17"/>
        <v>193500</v>
      </c>
    </row>
    <row r="45" spans="1:8" ht="15.75">
      <c r="A45" s="9"/>
      <c r="B45" s="10"/>
      <c r="C45" s="11">
        <v>6060</v>
      </c>
      <c r="D45" s="12" t="s">
        <v>112</v>
      </c>
      <c r="E45" s="13">
        <f>177000+11000+5500</f>
        <v>193500</v>
      </c>
      <c r="F45" s="13"/>
      <c r="G45" s="13"/>
      <c r="H45" s="13">
        <f>E45+F45-G45</f>
        <v>193500</v>
      </c>
    </row>
    <row r="46" spans="1:8" ht="15.75">
      <c r="A46" s="9"/>
      <c r="B46" s="10">
        <v>75495</v>
      </c>
      <c r="C46" s="11"/>
      <c r="D46" s="12" t="s">
        <v>8</v>
      </c>
      <c r="E46" s="13">
        <f>E47</f>
        <v>610000</v>
      </c>
      <c r="F46" s="13">
        <f t="shared" ref="F46:H46" si="18">F47</f>
        <v>350000</v>
      </c>
      <c r="G46" s="13">
        <f t="shared" si="18"/>
        <v>0</v>
      </c>
      <c r="H46" s="13">
        <f t="shared" si="18"/>
        <v>960000</v>
      </c>
    </row>
    <row r="47" spans="1:8" ht="15.75">
      <c r="A47" s="9"/>
      <c r="B47" s="10"/>
      <c r="C47" s="11">
        <v>6050</v>
      </c>
      <c r="D47" s="12" t="s">
        <v>98</v>
      </c>
      <c r="E47" s="13">
        <v>610000</v>
      </c>
      <c r="F47" s="13">
        <f>150000+200000</f>
        <v>350000</v>
      </c>
      <c r="G47" s="13"/>
      <c r="H47" s="13">
        <f>E47+F47-G47</f>
        <v>960000</v>
      </c>
    </row>
    <row r="48" spans="1:8" ht="15.75">
      <c r="A48" s="9">
        <v>801</v>
      </c>
      <c r="B48" s="10"/>
      <c r="C48" s="11"/>
      <c r="D48" s="12" t="s">
        <v>58</v>
      </c>
      <c r="E48" s="13">
        <f>E49+E54+E56</f>
        <v>9701000</v>
      </c>
      <c r="F48" s="13">
        <f t="shared" ref="F48:H48" si="19">F49+F54+F56</f>
        <v>654400</v>
      </c>
      <c r="G48" s="13">
        <f t="shared" si="19"/>
        <v>429000</v>
      </c>
      <c r="H48" s="13">
        <f t="shared" si="19"/>
        <v>9926400</v>
      </c>
    </row>
    <row r="49" spans="1:8" ht="15.75">
      <c r="A49" s="9"/>
      <c r="B49" s="10">
        <v>80101</v>
      </c>
      <c r="C49" s="11"/>
      <c r="D49" s="12" t="s">
        <v>59</v>
      </c>
      <c r="E49" s="13">
        <f>SUM(E50:E53)</f>
        <v>9701000</v>
      </c>
      <c r="F49" s="13">
        <f t="shared" ref="F49:H49" si="20">SUM(F50:F53)</f>
        <v>200000</v>
      </c>
      <c r="G49" s="13">
        <f t="shared" si="20"/>
        <v>429000</v>
      </c>
      <c r="H49" s="13">
        <f t="shared" si="20"/>
        <v>9472000</v>
      </c>
    </row>
    <row r="50" spans="1:8" ht="15.75">
      <c r="A50" s="9"/>
      <c r="B50" s="137"/>
      <c r="C50" s="138">
        <v>6050</v>
      </c>
      <c r="D50" s="182" t="s">
        <v>98</v>
      </c>
      <c r="E50" s="183">
        <f>2050000+800000+500000+1200000+300000+1100000-1000+80000+550000-800000</f>
        <v>5779000</v>
      </c>
      <c r="F50" s="183">
        <v>200000</v>
      </c>
      <c r="G50" s="183">
        <f>180000+249000</f>
        <v>429000</v>
      </c>
      <c r="H50" s="13">
        <f>E50+F50-G50</f>
        <v>5550000</v>
      </c>
    </row>
    <row r="51" spans="1:8" ht="15.75">
      <c r="A51" s="9"/>
      <c r="B51" s="10"/>
      <c r="C51" s="11">
        <v>6060</v>
      </c>
      <c r="D51" s="12" t="s">
        <v>112</v>
      </c>
      <c r="E51" s="13">
        <f>60000+50000+12000</f>
        <v>122000</v>
      </c>
      <c r="F51" s="13"/>
      <c r="G51" s="13"/>
      <c r="H51" s="13">
        <f>E51+F51-G51</f>
        <v>122000</v>
      </c>
    </row>
    <row r="52" spans="1:8" ht="47.25">
      <c r="A52" s="9"/>
      <c r="B52" s="10"/>
      <c r="C52" s="11">
        <v>6370</v>
      </c>
      <c r="D52" s="12" t="s">
        <v>218</v>
      </c>
      <c r="E52" s="13">
        <v>3000000</v>
      </c>
      <c r="F52" s="13"/>
      <c r="G52" s="13"/>
      <c r="H52" s="13">
        <f>E52+F52-G52</f>
        <v>3000000</v>
      </c>
    </row>
    <row r="53" spans="1:8" ht="31.5">
      <c r="A53" s="9"/>
      <c r="B53" s="10"/>
      <c r="C53" s="72">
        <v>6580</v>
      </c>
      <c r="D53" s="73" t="s">
        <v>325</v>
      </c>
      <c r="E53" s="13">
        <v>800000</v>
      </c>
      <c r="F53" s="13"/>
      <c r="G53" s="13"/>
      <c r="H53" s="13">
        <f>E53+F53-G53</f>
        <v>800000</v>
      </c>
    </row>
    <row r="54" spans="1:8" ht="15.75">
      <c r="A54" s="9"/>
      <c r="B54" s="10">
        <v>80104</v>
      </c>
      <c r="C54" s="11"/>
      <c r="D54" s="12" t="s">
        <v>62</v>
      </c>
      <c r="E54" s="13">
        <f>SUM(E55)</f>
        <v>0</v>
      </c>
      <c r="F54" s="13">
        <f t="shared" ref="F54:H54" si="21">SUM(F55)</f>
        <v>360000</v>
      </c>
      <c r="G54" s="13">
        <f t="shared" si="21"/>
        <v>0</v>
      </c>
      <c r="H54" s="13">
        <f t="shared" si="21"/>
        <v>360000</v>
      </c>
    </row>
    <row r="55" spans="1:8" ht="15.75">
      <c r="A55" s="9"/>
      <c r="B55" s="10"/>
      <c r="C55" s="138">
        <v>6050</v>
      </c>
      <c r="D55" s="182" t="s">
        <v>98</v>
      </c>
      <c r="E55" s="13"/>
      <c r="F55" s="13">
        <v>360000</v>
      </c>
      <c r="G55" s="13"/>
      <c r="H55" s="13">
        <f>E55+F55-G55</f>
        <v>360000</v>
      </c>
    </row>
    <row r="56" spans="1:8" ht="15.75">
      <c r="A56" s="9"/>
      <c r="B56" s="10">
        <v>80195</v>
      </c>
      <c r="C56" s="11"/>
      <c r="D56" s="12" t="s">
        <v>8</v>
      </c>
      <c r="E56" s="13">
        <f>SUM(E57)</f>
        <v>0</v>
      </c>
      <c r="F56" s="13">
        <f t="shared" ref="F56:H56" si="22">SUM(F57)</f>
        <v>94400</v>
      </c>
      <c r="G56" s="13">
        <f t="shared" si="22"/>
        <v>0</v>
      </c>
      <c r="H56" s="13">
        <f t="shared" si="22"/>
        <v>94400</v>
      </c>
    </row>
    <row r="57" spans="1:8" ht="15.75">
      <c r="A57" s="9"/>
      <c r="B57" s="10"/>
      <c r="C57" s="72">
        <v>6057</v>
      </c>
      <c r="D57" s="73" t="s">
        <v>98</v>
      </c>
      <c r="E57" s="13"/>
      <c r="F57" s="13">
        <v>94400</v>
      </c>
      <c r="G57" s="13"/>
      <c r="H57" s="13">
        <f>E57+F57-G57</f>
        <v>94400</v>
      </c>
    </row>
    <row r="58" spans="1:8" ht="15.75">
      <c r="A58" s="9">
        <v>900</v>
      </c>
      <c r="B58" s="10"/>
      <c r="C58" s="11"/>
      <c r="D58" s="12" t="s">
        <v>84</v>
      </c>
      <c r="E58" s="13">
        <f>E61+E63+E59</f>
        <v>1400000</v>
      </c>
      <c r="F58" s="13">
        <f>F61+F63+F59</f>
        <v>1399680</v>
      </c>
      <c r="G58" s="13">
        <f>G61+G63+G59</f>
        <v>0</v>
      </c>
      <c r="H58" s="13">
        <f>H61+H63+H59</f>
        <v>2799680</v>
      </c>
    </row>
    <row r="59" spans="1:8" ht="15.75">
      <c r="A59" s="9"/>
      <c r="B59" s="10">
        <v>90001</v>
      </c>
      <c r="C59" s="11"/>
      <c r="D59" s="12" t="s">
        <v>85</v>
      </c>
      <c r="E59" s="13">
        <f>E60</f>
        <v>180000</v>
      </c>
      <c r="F59" s="13">
        <f t="shared" ref="F59:H59" si="23">F60</f>
        <v>0</v>
      </c>
      <c r="G59" s="13">
        <f t="shared" si="23"/>
        <v>0</v>
      </c>
      <c r="H59" s="13">
        <f t="shared" si="23"/>
        <v>180000</v>
      </c>
    </row>
    <row r="60" spans="1:8" ht="47.25">
      <c r="A60" s="9"/>
      <c r="B60" s="10"/>
      <c r="C60" s="11">
        <v>6230</v>
      </c>
      <c r="D60" s="12" t="s">
        <v>168</v>
      </c>
      <c r="E60" s="13">
        <v>180000</v>
      </c>
      <c r="F60" s="13"/>
      <c r="G60" s="13"/>
      <c r="H60" s="13">
        <f>E60+F60-G60</f>
        <v>180000</v>
      </c>
    </row>
    <row r="61" spans="1:8" ht="15.75">
      <c r="A61" s="9"/>
      <c r="B61" s="10">
        <v>90005</v>
      </c>
      <c r="C61" s="11"/>
      <c r="D61" s="12" t="s">
        <v>87</v>
      </c>
      <c r="E61" s="13">
        <f>E62</f>
        <v>220000</v>
      </c>
      <c r="F61" s="13">
        <f t="shared" ref="F61:H61" si="24">F62</f>
        <v>56000</v>
      </c>
      <c r="G61" s="13">
        <f t="shared" si="24"/>
        <v>0</v>
      </c>
      <c r="H61" s="13">
        <f t="shared" si="24"/>
        <v>276000</v>
      </c>
    </row>
    <row r="62" spans="1:8" ht="47.25">
      <c r="A62" s="9"/>
      <c r="B62" s="10"/>
      <c r="C62" s="11">
        <v>6230</v>
      </c>
      <c r="D62" s="12" t="s">
        <v>168</v>
      </c>
      <c r="E62" s="13">
        <f>400000-180000</f>
        <v>220000</v>
      </c>
      <c r="F62" s="13">
        <v>56000</v>
      </c>
      <c r="G62" s="13"/>
      <c r="H62" s="13">
        <f>E62+F62-G62</f>
        <v>276000</v>
      </c>
    </row>
    <row r="63" spans="1:8" ht="15.75">
      <c r="A63" s="9"/>
      <c r="B63" s="10">
        <v>90015</v>
      </c>
      <c r="C63" s="11"/>
      <c r="D63" s="12" t="s">
        <v>172</v>
      </c>
      <c r="E63" s="13">
        <f>SUM(E64:E65)</f>
        <v>1000000</v>
      </c>
      <c r="F63" s="13">
        <f t="shared" ref="F63:H63" si="25">SUM(F64:F65)</f>
        <v>1343680</v>
      </c>
      <c r="G63" s="13">
        <f t="shared" si="25"/>
        <v>0</v>
      </c>
      <c r="H63" s="13">
        <f t="shared" si="25"/>
        <v>2343680</v>
      </c>
    </row>
    <row r="64" spans="1:8" ht="15.75">
      <c r="A64" s="9"/>
      <c r="B64" s="10"/>
      <c r="C64" s="11">
        <v>6050</v>
      </c>
      <c r="D64" s="12" t="s">
        <v>98</v>
      </c>
      <c r="E64" s="13">
        <v>1000000</v>
      </c>
      <c r="F64" s="13"/>
      <c r="G64" s="13"/>
      <c r="H64" s="13">
        <f>E64+F64-G64</f>
        <v>1000000</v>
      </c>
    </row>
    <row r="65" spans="1:8" ht="47.25">
      <c r="A65" s="9"/>
      <c r="B65" s="10"/>
      <c r="C65" s="11">
        <v>6370</v>
      </c>
      <c r="D65" s="12" t="s">
        <v>218</v>
      </c>
      <c r="E65" s="13"/>
      <c r="F65" s="13">
        <v>1343680</v>
      </c>
      <c r="G65" s="13"/>
      <c r="H65" s="13">
        <f>E65+F65-G65</f>
        <v>1343680</v>
      </c>
    </row>
    <row r="66" spans="1:8" ht="15.75">
      <c r="A66" s="9">
        <v>921</v>
      </c>
      <c r="B66" s="10"/>
      <c r="C66" s="11"/>
      <c r="D66" s="12" t="s">
        <v>175</v>
      </c>
      <c r="E66" s="13">
        <f>E67+E70</f>
        <v>5790000</v>
      </c>
      <c r="F66" s="13">
        <f t="shared" ref="F66:H66" si="26">F67+F70</f>
        <v>100000.65</v>
      </c>
      <c r="G66" s="13">
        <f t="shared" si="26"/>
        <v>130000</v>
      </c>
      <c r="H66" s="13">
        <f t="shared" si="26"/>
        <v>5760000.6500000004</v>
      </c>
    </row>
    <row r="67" spans="1:8" ht="15.75">
      <c r="A67" s="9"/>
      <c r="B67" s="10">
        <v>92109</v>
      </c>
      <c r="C67" s="11"/>
      <c r="D67" s="12" t="s">
        <v>177</v>
      </c>
      <c r="E67" s="13">
        <f>SUM(E68:E69)</f>
        <v>1830000</v>
      </c>
      <c r="F67" s="13">
        <f t="shared" ref="F67:H67" si="27">SUM(F68:F69)</f>
        <v>0.65</v>
      </c>
      <c r="G67" s="13">
        <f t="shared" si="27"/>
        <v>130000</v>
      </c>
      <c r="H67" s="13">
        <f t="shared" si="27"/>
        <v>1700000.65</v>
      </c>
    </row>
    <row r="68" spans="1:8" ht="15.75">
      <c r="A68" s="9"/>
      <c r="B68" s="10"/>
      <c r="C68" s="11">
        <v>6050</v>
      </c>
      <c r="D68" s="12" t="s">
        <v>98</v>
      </c>
      <c r="E68" s="13">
        <f>200000+630000</f>
        <v>830000</v>
      </c>
      <c r="F68" s="13"/>
      <c r="G68" s="13">
        <v>130000</v>
      </c>
      <c r="H68" s="13">
        <f>E68+F68-G68</f>
        <v>700000</v>
      </c>
    </row>
    <row r="69" spans="1:8" ht="47.25">
      <c r="A69" s="9"/>
      <c r="B69" s="10"/>
      <c r="C69" s="89">
        <v>6370</v>
      </c>
      <c r="D69" s="90" t="s">
        <v>218</v>
      </c>
      <c r="E69" s="13">
        <v>1000000</v>
      </c>
      <c r="F69" s="13">
        <v>0.65</v>
      </c>
      <c r="G69" s="13"/>
      <c r="H69" s="13">
        <f>E69+F69-G69</f>
        <v>1000000.65</v>
      </c>
    </row>
    <row r="70" spans="1:8" ht="15.75">
      <c r="A70" s="9"/>
      <c r="B70" s="10">
        <v>92120</v>
      </c>
      <c r="C70" s="11"/>
      <c r="D70" s="12" t="s">
        <v>180</v>
      </c>
      <c r="E70" s="13">
        <f>SUM(E71:E73)</f>
        <v>3960000</v>
      </c>
      <c r="F70" s="13">
        <f t="shared" ref="F70:H70" si="28">SUM(F71:F73)</f>
        <v>100000</v>
      </c>
      <c r="G70" s="13">
        <f t="shared" si="28"/>
        <v>0</v>
      </c>
      <c r="H70" s="13">
        <f t="shared" si="28"/>
        <v>4060000</v>
      </c>
    </row>
    <row r="71" spans="1:8" ht="15.75">
      <c r="A71" s="9"/>
      <c r="B71" s="10"/>
      <c r="C71" s="11">
        <v>6050</v>
      </c>
      <c r="D71" s="12" t="s">
        <v>98</v>
      </c>
      <c r="E71" s="13">
        <v>100000</v>
      </c>
      <c r="F71" s="13">
        <v>100000</v>
      </c>
      <c r="G71" s="13"/>
      <c r="H71" s="13">
        <f>E71+F71-G71</f>
        <v>200000</v>
      </c>
    </row>
    <row r="72" spans="1:8" ht="47.25">
      <c r="A72" s="9"/>
      <c r="B72" s="10"/>
      <c r="C72" s="89">
        <v>6370</v>
      </c>
      <c r="D72" s="90" t="s">
        <v>218</v>
      </c>
      <c r="E72" s="13">
        <v>3000000</v>
      </c>
      <c r="F72" s="13"/>
      <c r="G72" s="13"/>
      <c r="H72" s="13">
        <f t="shared" ref="H72:H73" si="29">E72+F72-G72</f>
        <v>3000000</v>
      </c>
    </row>
    <row r="73" spans="1:8" ht="63">
      <c r="A73" s="9"/>
      <c r="B73" s="10"/>
      <c r="C73" s="89">
        <v>6570</v>
      </c>
      <c r="D73" s="90" t="s">
        <v>221</v>
      </c>
      <c r="E73" s="13">
        <f>842800+7200+10000</f>
        <v>860000</v>
      </c>
      <c r="F73" s="13"/>
      <c r="G73" s="13"/>
      <c r="H73" s="13">
        <f t="shared" si="29"/>
        <v>860000</v>
      </c>
    </row>
    <row r="74" spans="1:8" ht="15.75">
      <c r="A74" s="9">
        <v>926</v>
      </c>
      <c r="B74" s="10"/>
      <c r="C74" s="11"/>
      <c r="D74" s="12" t="s">
        <v>89</v>
      </c>
      <c r="E74" s="13">
        <f>E75+E79+E77</f>
        <v>3126000</v>
      </c>
      <c r="F74" s="13">
        <f t="shared" ref="F74:H74" si="30">F75+F79+F77</f>
        <v>598000</v>
      </c>
      <c r="G74" s="13">
        <f t="shared" si="30"/>
        <v>300000</v>
      </c>
      <c r="H74" s="13">
        <f t="shared" si="30"/>
        <v>3424000</v>
      </c>
    </row>
    <row r="75" spans="1:8" ht="15.75">
      <c r="A75" s="9"/>
      <c r="B75" s="10">
        <v>92601</v>
      </c>
      <c r="C75" s="11"/>
      <c r="D75" s="12" t="s">
        <v>181</v>
      </c>
      <c r="E75" s="13">
        <f>SUM(E76:E76)</f>
        <v>1721000</v>
      </c>
      <c r="F75" s="13">
        <f t="shared" ref="F75:H75" si="31">SUM(F76:F76)</f>
        <v>349000</v>
      </c>
      <c r="G75" s="13">
        <f t="shared" si="31"/>
        <v>300000</v>
      </c>
      <c r="H75" s="13">
        <f t="shared" si="31"/>
        <v>1770000</v>
      </c>
    </row>
    <row r="76" spans="1:8" ht="15.75">
      <c r="A76" s="9"/>
      <c r="B76" s="10"/>
      <c r="C76" s="11">
        <v>6050</v>
      </c>
      <c r="D76" s="12" t="s">
        <v>98</v>
      </c>
      <c r="E76" s="13">
        <f>2071000-600000+250000</f>
        <v>1721000</v>
      </c>
      <c r="F76" s="13">
        <f>300000+49000</f>
        <v>349000</v>
      </c>
      <c r="G76" s="13">
        <v>300000</v>
      </c>
      <c r="H76" s="13">
        <f>E76+F76-G76</f>
        <v>1770000</v>
      </c>
    </row>
    <row r="77" spans="1:8" ht="15.75">
      <c r="A77" s="9"/>
      <c r="B77" s="10">
        <v>92604</v>
      </c>
      <c r="C77" s="11"/>
      <c r="D77" s="12" t="s">
        <v>90</v>
      </c>
      <c r="E77" s="13">
        <f>SUM(E78)</f>
        <v>580000</v>
      </c>
      <c r="F77" s="13">
        <f t="shared" ref="F77:H77" si="32">SUM(F78)</f>
        <v>249000</v>
      </c>
      <c r="G77" s="13">
        <f t="shared" si="32"/>
        <v>0</v>
      </c>
      <c r="H77" s="13">
        <f t="shared" si="32"/>
        <v>829000</v>
      </c>
    </row>
    <row r="78" spans="1:8" ht="15.75">
      <c r="A78" s="9"/>
      <c r="B78" s="10"/>
      <c r="C78" s="11">
        <v>6050</v>
      </c>
      <c r="D78" s="12" t="s">
        <v>98</v>
      </c>
      <c r="E78" s="13">
        <v>580000</v>
      </c>
      <c r="F78" s="13">
        <v>249000</v>
      </c>
      <c r="G78" s="13"/>
      <c r="H78" s="13">
        <f>E78+F78-G78</f>
        <v>829000</v>
      </c>
    </row>
    <row r="79" spans="1:8" ht="15.75">
      <c r="A79" s="9"/>
      <c r="B79" s="10">
        <v>92695</v>
      </c>
      <c r="C79" s="11"/>
      <c r="D79" s="12" t="s">
        <v>8</v>
      </c>
      <c r="E79" s="13">
        <f>E80</f>
        <v>825000</v>
      </c>
      <c r="F79" s="13">
        <f t="shared" ref="F79:H79" si="33">F80</f>
        <v>0</v>
      </c>
      <c r="G79" s="13">
        <f t="shared" si="33"/>
        <v>0</v>
      </c>
      <c r="H79" s="13">
        <f t="shared" si="33"/>
        <v>825000</v>
      </c>
    </row>
    <row r="80" spans="1:8" ht="15.75">
      <c r="A80" s="9"/>
      <c r="B80" s="10"/>
      <c r="C80" s="11">
        <v>6050</v>
      </c>
      <c r="D80" s="12" t="s">
        <v>98</v>
      </c>
      <c r="E80" s="13">
        <f>1370000-425000-120000</f>
        <v>825000</v>
      </c>
      <c r="F80" s="13"/>
      <c r="G80" s="13"/>
      <c r="H80" s="13">
        <f>E80+F80-G80</f>
        <v>825000</v>
      </c>
    </row>
    <row r="81" spans="1:8" ht="18.75">
      <c r="A81" s="82"/>
      <c r="B81" s="83"/>
      <c r="C81" s="84"/>
      <c r="D81" s="95" t="s">
        <v>91</v>
      </c>
      <c r="E81" s="96">
        <f>+E6+E21+E29+E32+E39+E48+E58+E66+E74+E11</f>
        <v>60521638</v>
      </c>
      <c r="F81" s="96">
        <f>+F6+F21+F29+F32+F39+F48+F58+F66+F74+F11</f>
        <v>6479748.6500000004</v>
      </c>
      <c r="G81" s="96">
        <f>+G6+G21+G29+G32+G39+G48+G58+G66+G74+G11</f>
        <v>959000</v>
      </c>
      <c r="H81" s="96">
        <f>+H6+H21+H29+H32+H39+H48+H58+H66+H74+H11</f>
        <v>66042386.649999999</v>
      </c>
    </row>
    <row r="83" spans="1:8">
      <c r="F83" s="23">
        <f>F81-G81</f>
        <v>5520748.6500000004</v>
      </c>
    </row>
  </sheetData>
  <mergeCells count="1">
    <mergeCell ref="A1:H1"/>
  </mergeCells>
  <conditionalFormatting sqref="A57:E466">
    <cfRule type="expression" dxfId="218" priority="7" stopIfTrue="1">
      <formula>$D57 = "OGÓŁEM:"</formula>
    </cfRule>
    <cfRule type="expression" dxfId="217" priority="8" stopIfTrue="1">
      <formula>LEN($A57)&gt;1</formula>
    </cfRule>
    <cfRule type="expression" dxfId="216" priority="9" stopIfTrue="1">
      <formula>LEN($B57)&gt;1</formula>
    </cfRule>
  </conditionalFormatting>
  <conditionalFormatting sqref="A6:H56">
    <cfRule type="expression" dxfId="215" priority="1" stopIfTrue="1">
      <formula>$D6 = "OGÓŁEM:"</formula>
    </cfRule>
    <cfRule type="expression" dxfId="214" priority="2" stopIfTrue="1">
      <formula>LEN($A6)&gt;1</formula>
    </cfRule>
    <cfRule type="expression" dxfId="213" priority="3" stopIfTrue="1">
      <formula>LEN($B6)&gt;1</formula>
    </cfRule>
  </conditionalFormatting>
  <conditionalFormatting sqref="F57:H81">
    <cfRule type="expression" dxfId="212" priority="19" stopIfTrue="1">
      <formula>$D57 = "OGÓŁEM:"</formula>
    </cfRule>
    <cfRule type="expression" dxfId="211" priority="20" stopIfTrue="1">
      <formula>LEN($A57)&gt;1</formula>
    </cfRule>
    <cfRule type="expression" dxfId="210" priority="21" stopIfTrue="1">
      <formula>LEN($B57)&gt;1</formula>
    </cfRule>
  </conditionalFormatting>
  <pageMargins left="0.11811023622047245" right="0.11811023622047245" top="0.98425196850393704" bottom="0.55118110236220474" header="0.31496062992125984" footer="0.31496062992125984"/>
  <pageSetup paperSize="9" scale="68" orientation="portrait" r:id="rId1"/>
  <headerFooter>
    <oddHeader xml:space="preserve">&amp;RZałącznik Nr 2b
do Zarządzenia Nr 821/2024 
Wójta Gminy Komorniki z dnia 29 kwietnia 2024r.    
w sprawie uchwały budżetowej na 2024r.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B0B0A-AE50-4D15-8203-6537DDA4B7DA}">
  <dimension ref="A2:H187"/>
  <sheetViews>
    <sheetView topLeftCell="A91" workbookViewId="0">
      <selection activeCell="B94" sqref="B94"/>
    </sheetView>
  </sheetViews>
  <sheetFormatPr defaultRowHeight="12.75"/>
  <cols>
    <col min="1" max="1" width="4.85546875" style="118" customWidth="1"/>
    <col min="2" max="2" width="8.140625" style="118" customWidth="1"/>
    <col min="3" max="3" width="6.85546875" style="118" customWidth="1"/>
    <col min="4" max="4" width="43.28515625" style="118" customWidth="1"/>
    <col min="5" max="5" width="22.42578125" style="118" customWidth="1"/>
    <col min="6" max="6" width="16.85546875" style="118" customWidth="1"/>
    <col min="7" max="7" width="14.85546875" style="118" customWidth="1"/>
    <col min="8" max="8" width="13.5703125" style="118" customWidth="1"/>
    <col min="9" max="257" width="9.140625" style="118"/>
    <col min="258" max="258" width="47.85546875" style="118" customWidth="1"/>
    <col min="259" max="259" width="37" style="118" customWidth="1"/>
    <col min="260" max="260" width="25.140625" style="118" customWidth="1"/>
    <col min="261" max="261" width="23.5703125" style="118" customWidth="1"/>
    <col min="262" max="262" width="26" style="118" customWidth="1"/>
    <col min="263" max="513" width="9.140625" style="118"/>
    <col min="514" max="514" width="47.85546875" style="118" customWidth="1"/>
    <col min="515" max="515" width="37" style="118" customWidth="1"/>
    <col min="516" max="516" width="25.140625" style="118" customWidth="1"/>
    <col min="517" max="517" width="23.5703125" style="118" customWidth="1"/>
    <col min="518" max="518" width="26" style="118" customWidth="1"/>
    <col min="519" max="769" width="9.140625" style="118"/>
    <col min="770" max="770" width="47.85546875" style="118" customWidth="1"/>
    <col min="771" max="771" width="37" style="118" customWidth="1"/>
    <col min="772" max="772" width="25.140625" style="118" customWidth="1"/>
    <col min="773" max="773" width="23.5703125" style="118" customWidth="1"/>
    <col min="774" max="774" width="26" style="118" customWidth="1"/>
    <col min="775" max="1025" width="9.140625" style="118"/>
    <col min="1026" max="1026" width="47.85546875" style="118" customWidth="1"/>
    <col min="1027" max="1027" width="37" style="118" customWidth="1"/>
    <col min="1028" max="1028" width="25.140625" style="118" customWidth="1"/>
    <col min="1029" max="1029" width="23.5703125" style="118" customWidth="1"/>
    <col min="1030" max="1030" width="26" style="118" customWidth="1"/>
    <col min="1031" max="1281" width="9.140625" style="118"/>
    <col min="1282" max="1282" width="47.85546875" style="118" customWidth="1"/>
    <col min="1283" max="1283" width="37" style="118" customWidth="1"/>
    <col min="1284" max="1284" width="25.140625" style="118" customWidth="1"/>
    <col min="1285" max="1285" width="23.5703125" style="118" customWidth="1"/>
    <col min="1286" max="1286" width="26" style="118" customWidth="1"/>
    <col min="1287" max="1537" width="9.140625" style="118"/>
    <col min="1538" max="1538" width="47.85546875" style="118" customWidth="1"/>
    <col min="1539" max="1539" width="37" style="118" customWidth="1"/>
    <col min="1540" max="1540" width="25.140625" style="118" customWidth="1"/>
    <col min="1541" max="1541" width="23.5703125" style="118" customWidth="1"/>
    <col min="1542" max="1542" width="26" style="118" customWidth="1"/>
    <col min="1543" max="1793" width="9.140625" style="118"/>
    <col min="1794" max="1794" width="47.85546875" style="118" customWidth="1"/>
    <col min="1795" max="1795" width="37" style="118" customWidth="1"/>
    <col min="1796" max="1796" width="25.140625" style="118" customWidth="1"/>
    <col min="1797" max="1797" width="23.5703125" style="118" customWidth="1"/>
    <col min="1798" max="1798" width="26" style="118" customWidth="1"/>
    <col min="1799" max="2049" width="9.140625" style="118"/>
    <col min="2050" max="2050" width="47.85546875" style="118" customWidth="1"/>
    <col min="2051" max="2051" width="37" style="118" customWidth="1"/>
    <col min="2052" max="2052" width="25.140625" style="118" customWidth="1"/>
    <col min="2053" max="2053" width="23.5703125" style="118" customWidth="1"/>
    <col min="2054" max="2054" width="26" style="118" customWidth="1"/>
    <col min="2055" max="2305" width="9.140625" style="118"/>
    <col min="2306" max="2306" width="47.85546875" style="118" customWidth="1"/>
    <col min="2307" max="2307" width="37" style="118" customWidth="1"/>
    <col min="2308" max="2308" width="25.140625" style="118" customWidth="1"/>
    <col min="2309" max="2309" width="23.5703125" style="118" customWidth="1"/>
    <col min="2310" max="2310" width="26" style="118" customWidth="1"/>
    <col min="2311" max="2561" width="9.140625" style="118"/>
    <col min="2562" max="2562" width="47.85546875" style="118" customWidth="1"/>
    <col min="2563" max="2563" width="37" style="118" customWidth="1"/>
    <col min="2564" max="2564" width="25.140625" style="118" customWidth="1"/>
    <col min="2565" max="2565" width="23.5703125" style="118" customWidth="1"/>
    <col min="2566" max="2566" width="26" style="118" customWidth="1"/>
    <col min="2567" max="2817" width="9.140625" style="118"/>
    <col min="2818" max="2818" width="47.85546875" style="118" customWidth="1"/>
    <col min="2819" max="2819" width="37" style="118" customWidth="1"/>
    <col min="2820" max="2820" width="25.140625" style="118" customWidth="1"/>
    <col min="2821" max="2821" width="23.5703125" style="118" customWidth="1"/>
    <col min="2822" max="2822" width="26" style="118" customWidth="1"/>
    <col min="2823" max="3073" width="9.140625" style="118"/>
    <col min="3074" max="3074" width="47.85546875" style="118" customWidth="1"/>
    <col min="3075" max="3075" width="37" style="118" customWidth="1"/>
    <col min="3076" max="3076" width="25.140625" style="118" customWidth="1"/>
    <col min="3077" max="3077" width="23.5703125" style="118" customWidth="1"/>
    <col min="3078" max="3078" width="26" style="118" customWidth="1"/>
    <col min="3079" max="3329" width="9.140625" style="118"/>
    <col min="3330" max="3330" width="47.85546875" style="118" customWidth="1"/>
    <col min="3331" max="3331" width="37" style="118" customWidth="1"/>
    <col min="3332" max="3332" width="25.140625" style="118" customWidth="1"/>
    <col min="3333" max="3333" width="23.5703125" style="118" customWidth="1"/>
    <col min="3334" max="3334" width="26" style="118" customWidth="1"/>
    <col min="3335" max="3585" width="9.140625" style="118"/>
    <col min="3586" max="3586" width="47.85546875" style="118" customWidth="1"/>
    <col min="3587" max="3587" width="37" style="118" customWidth="1"/>
    <col min="3588" max="3588" width="25.140625" style="118" customWidth="1"/>
    <col min="3589" max="3589" width="23.5703125" style="118" customWidth="1"/>
    <col min="3590" max="3590" width="26" style="118" customWidth="1"/>
    <col min="3591" max="3841" width="9.140625" style="118"/>
    <col min="3842" max="3842" width="47.85546875" style="118" customWidth="1"/>
    <col min="3843" max="3843" width="37" style="118" customWidth="1"/>
    <col min="3844" max="3844" width="25.140625" style="118" customWidth="1"/>
    <col min="3845" max="3845" width="23.5703125" style="118" customWidth="1"/>
    <col min="3846" max="3846" width="26" style="118" customWidth="1"/>
    <col min="3847" max="4097" width="9.140625" style="118"/>
    <col min="4098" max="4098" width="47.85546875" style="118" customWidth="1"/>
    <col min="4099" max="4099" width="37" style="118" customWidth="1"/>
    <col min="4100" max="4100" width="25.140625" style="118" customWidth="1"/>
    <col min="4101" max="4101" width="23.5703125" style="118" customWidth="1"/>
    <col min="4102" max="4102" width="26" style="118" customWidth="1"/>
    <col min="4103" max="4353" width="9.140625" style="118"/>
    <col min="4354" max="4354" width="47.85546875" style="118" customWidth="1"/>
    <col min="4355" max="4355" width="37" style="118" customWidth="1"/>
    <col min="4356" max="4356" width="25.140625" style="118" customWidth="1"/>
    <col min="4357" max="4357" width="23.5703125" style="118" customWidth="1"/>
    <col min="4358" max="4358" width="26" style="118" customWidth="1"/>
    <col min="4359" max="4609" width="9.140625" style="118"/>
    <col min="4610" max="4610" width="47.85546875" style="118" customWidth="1"/>
    <col min="4611" max="4611" width="37" style="118" customWidth="1"/>
    <col min="4612" max="4612" width="25.140625" style="118" customWidth="1"/>
    <col min="4613" max="4613" width="23.5703125" style="118" customWidth="1"/>
    <col min="4614" max="4614" width="26" style="118" customWidth="1"/>
    <col min="4615" max="4865" width="9.140625" style="118"/>
    <col min="4866" max="4866" width="47.85546875" style="118" customWidth="1"/>
    <col min="4867" max="4867" width="37" style="118" customWidth="1"/>
    <col min="4868" max="4868" width="25.140625" style="118" customWidth="1"/>
    <col min="4869" max="4869" width="23.5703125" style="118" customWidth="1"/>
    <col min="4870" max="4870" width="26" style="118" customWidth="1"/>
    <col min="4871" max="5121" width="9.140625" style="118"/>
    <col min="5122" max="5122" width="47.85546875" style="118" customWidth="1"/>
    <col min="5123" max="5123" width="37" style="118" customWidth="1"/>
    <col min="5124" max="5124" width="25.140625" style="118" customWidth="1"/>
    <col min="5125" max="5125" width="23.5703125" style="118" customWidth="1"/>
    <col min="5126" max="5126" width="26" style="118" customWidth="1"/>
    <col min="5127" max="5377" width="9.140625" style="118"/>
    <col min="5378" max="5378" width="47.85546875" style="118" customWidth="1"/>
    <col min="5379" max="5379" width="37" style="118" customWidth="1"/>
    <col min="5380" max="5380" width="25.140625" style="118" customWidth="1"/>
    <col min="5381" max="5381" width="23.5703125" style="118" customWidth="1"/>
    <col min="5382" max="5382" width="26" style="118" customWidth="1"/>
    <col min="5383" max="5633" width="9.140625" style="118"/>
    <col min="5634" max="5634" width="47.85546875" style="118" customWidth="1"/>
    <col min="5635" max="5635" width="37" style="118" customWidth="1"/>
    <col min="5636" max="5636" width="25.140625" style="118" customWidth="1"/>
    <col min="5637" max="5637" width="23.5703125" style="118" customWidth="1"/>
    <col min="5638" max="5638" width="26" style="118" customWidth="1"/>
    <col min="5639" max="5889" width="9.140625" style="118"/>
    <col min="5890" max="5890" width="47.85546875" style="118" customWidth="1"/>
    <col min="5891" max="5891" width="37" style="118" customWidth="1"/>
    <col min="5892" max="5892" width="25.140625" style="118" customWidth="1"/>
    <col min="5893" max="5893" width="23.5703125" style="118" customWidth="1"/>
    <col min="5894" max="5894" width="26" style="118" customWidth="1"/>
    <col min="5895" max="6145" width="9.140625" style="118"/>
    <col min="6146" max="6146" width="47.85546875" style="118" customWidth="1"/>
    <col min="6147" max="6147" width="37" style="118" customWidth="1"/>
    <col min="6148" max="6148" width="25.140625" style="118" customWidth="1"/>
    <col min="6149" max="6149" width="23.5703125" style="118" customWidth="1"/>
    <col min="6150" max="6150" width="26" style="118" customWidth="1"/>
    <col min="6151" max="6401" width="9.140625" style="118"/>
    <col min="6402" max="6402" width="47.85546875" style="118" customWidth="1"/>
    <col min="6403" max="6403" width="37" style="118" customWidth="1"/>
    <col min="6404" max="6404" width="25.140625" style="118" customWidth="1"/>
    <col min="6405" max="6405" width="23.5703125" style="118" customWidth="1"/>
    <col min="6406" max="6406" width="26" style="118" customWidth="1"/>
    <col min="6407" max="6657" width="9.140625" style="118"/>
    <col min="6658" max="6658" width="47.85546875" style="118" customWidth="1"/>
    <col min="6659" max="6659" width="37" style="118" customWidth="1"/>
    <col min="6660" max="6660" width="25.140625" style="118" customWidth="1"/>
    <col min="6661" max="6661" width="23.5703125" style="118" customWidth="1"/>
    <col min="6662" max="6662" width="26" style="118" customWidth="1"/>
    <col min="6663" max="6913" width="9.140625" style="118"/>
    <col min="6914" max="6914" width="47.85546875" style="118" customWidth="1"/>
    <col min="6915" max="6915" width="37" style="118" customWidth="1"/>
    <col min="6916" max="6916" width="25.140625" style="118" customWidth="1"/>
    <col min="6917" max="6917" width="23.5703125" style="118" customWidth="1"/>
    <col min="6918" max="6918" width="26" style="118" customWidth="1"/>
    <col min="6919" max="7169" width="9.140625" style="118"/>
    <col min="7170" max="7170" width="47.85546875" style="118" customWidth="1"/>
    <col min="7171" max="7171" width="37" style="118" customWidth="1"/>
    <col min="7172" max="7172" width="25.140625" style="118" customWidth="1"/>
    <col min="7173" max="7173" width="23.5703125" style="118" customWidth="1"/>
    <col min="7174" max="7174" width="26" style="118" customWidth="1"/>
    <col min="7175" max="7425" width="9.140625" style="118"/>
    <col min="7426" max="7426" width="47.85546875" style="118" customWidth="1"/>
    <col min="7427" max="7427" width="37" style="118" customWidth="1"/>
    <col min="7428" max="7428" width="25.140625" style="118" customWidth="1"/>
    <col min="7429" max="7429" width="23.5703125" style="118" customWidth="1"/>
    <col min="7430" max="7430" width="26" style="118" customWidth="1"/>
    <col min="7431" max="7681" width="9.140625" style="118"/>
    <col min="7682" max="7682" width="47.85546875" style="118" customWidth="1"/>
    <col min="7683" max="7683" width="37" style="118" customWidth="1"/>
    <col min="7684" max="7684" width="25.140625" style="118" customWidth="1"/>
    <col min="7685" max="7685" width="23.5703125" style="118" customWidth="1"/>
    <col min="7686" max="7686" width="26" style="118" customWidth="1"/>
    <col min="7687" max="7937" width="9.140625" style="118"/>
    <col min="7938" max="7938" width="47.85546875" style="118" customWidth="1"/>
    <col min="7939" max="7939" width="37" style="118" customWidth="1"/>
    <col min="7940" max="7940" width="25.140625" style="118" customWidth="1"/>
    <col min="7941" max="7941" width="23.5703125" style="118" customWidth="1"/>
    <col min="7942" max="7942" width="26" style="118" customWidth="1"/>
    <col min="7943" max="8193" width="9.140625" style="118"/>
    <col min="8194" max="8194" width="47.85546875" style="118" customWidth="1"/>
    <col min="8195" max="8195" width="37" style="118" customWidth="1"/>
    <col min="8196" max="8196" width="25.140625" style="118" customWidth="1"/>
    <col min="8197" max="8197" width="23.5703125" style="118" customWidth="1"/>
    <col min="8198" max="8198" width="26" style="118" customWidth="1"/>
    <col min="8199" max="8449" width="9.140625" style="118"/>
    <col min="8450" max="8450" width="47.85546875" style="118" customWidth="1"/>
    <col min="8451" max="8451" width="37" style="118" customWidth="1"/>
    <col min="8452" max="8452" width="25.140625" style="118" customWidth="1"/>
    <col min="8453" max="8453" width="23.5703125" style="118" customWidth="1"/>
    <col min="8454" max="8454" width="26" style="118" customWidth="1"/>
    <col min="8455" max="8705" width="9.140625" style="118"/>
    <col min="8706" max="8706" width="47.85546875" style="118" customWidth="1"/>
    <col min="8707" max="8707" width="37" style="118" customWidth="1"/>
    <col min="8708" max="8708" width="25.140625" style="118" customWidth="1"/>
    <col min="8709" max="8709" width="23.5703125" style="118" customWidth="1"/>
    <col min="8710" max="8710" width="26" style="118" customWidth="1"/>
    <col min="8711" max="8961" width="9.140625" style="118"/>
    <col min="8962" max="8962" width="47.85546875" style="118" customWidth="1"/>
    <col min="8963" max="8963" width="37" style="118" customWidth="1"/>
    <col min="8964" max="8964" width="25.140625" style="118" customWidth="1"/>
    <col min="8965" max="8965" width="23.5703125" style="118" customWidth="1"/>
    <col min="8966" max="8966" width="26" style="118" customWidth="1"/>
    <col min="8967" max="9217" width="9.140625" style="118"/>
    <col min="9218" max="9218" width="47.85546875" style="118" customWidth="1"/>
    <col min="9219" max="9219" width="37" style="118" customWidth="1"/>
    <col min="9220" max="9220" width="25.140625" style="118" customWidth="1"/>
    <col min="9221" max="9221" width="23.5703125" style="118" customWidth="1"/>
    <col min="9222" max="9222" width="26" style="118" customWidth="1"/>
    <col min="9223" max="9473" width="9.140625" style="118"/>
    <col min="9474" max="9474" width="47.85546875" style="118" customWidth="1"/>
    <col min="9475" max="9475" width="37" style="118" customWidth="1"/>
    <col min="9476" max="9476" width="25.140625" style="118" customWidth="1"/>
    <col min="9477" max="9477" width="23.5703125" style="118" customWidth="1"/>
    <col min="9478" max="9478" width="26" style="118" customWidth="1"/>
    <col min="9479" max="9729" width="9.140625" style="118"/>
    <col min="9730" max="9730" width="47.85546875" style="118" customWidth="1"/>
    <col min="9731" max="9731" width="37" style="118" customWidth="1"/>
    <col min="9732" max="9732" width="25.140625" style="118" customWidth="1"/>
    <col min="9733" max="9733" width="23.5703125" style="118" customWidth="1"/>
    <col min="9734" max="9734" width="26" style="118" customWidth="1"/>
    <col min="9735" max="9985" width="9.140625" style="118"/>
    <col min="9986" max="9986" width="47.85546875" style="118" customWidth="1"/>
    <col min="9987" max="9987" width="37" style="118" customWidth="1"/>
    <col min="9988" max="9988" width="25.140625" style="118" customWidth="1"/>
    <col min="9989" max="9989" width="23.5703125" style="118" customWidth="1"/>
    <col min="9990" max="9990" width="26" style="118" customWidth="1"/>
    <col min="9991" max="10241" width="9.140625" style="118"/>
    <col min="10242" max="10242" width="47.85546875" style="118" customWidth="1"/>
    <col min="10243" max="10243" width="37" style="118" customWidth="1"/>
    <col min="10244" max="10244" width="25.140625" style="118" customWidth="1"/>
    <col min="10245" max="10245" width="23.5703125" style="118" customWidth="1"/>
    <col min="10246" max="10246" width="26" style="118" customWidth="1"/>
    <col min="10247" max="10497" width="9.140625" style="118"/>
    <col min="10498" max="10498" width="47.85546875" style="118" customWidth="1"/>
    <col min="10499" max="10499" width="37" style="118" customWidth="1"/>
    <col min="10500" max="10500" width="25.140625" style="118" customWidth="1"/>
    <col min="10501" max="10501" width="23.5703125" style="118" customWidth="1"/>
    <col min="10502" max="10502" width="26" style="118" customWidth="1"/>
    <col min="10503" max="10753" width="9.140625" style="118"/>
    <col min="10754" max="10754" width="47.85546875" style="118" customWidth="1"/>
    <col min="10755" max="10755" width="37" style="118" customWidth="1"/>
    <col min="10756" max="10756" width="25.140625" style="118" customWidth="1"/>
    <col min="10757" max="10757" width="23.5703125" style="118" customWidth="1"/>
    <col min="10758" max="10758" width="26" style="118" customWidth="1"/>
    <col min="10759" max="11009" width="9.140625" style="118"/>
    <col min="11010" max="11010" width="47.85546875" style="118" customWidth="1"/>
    <col min="11011" max="11011" width="37" style="118" customWidth="1"/>
    <col min="11012" max="11012" width="25.140625" style="118" customWidth="1"/>
    <col min="11013" max="11013" width="23.5703125" style="118" customWidth="1"/>
    <col min="11014" max="11014" width="26" style="118" customWidth="1"/>
    <col min="11015" max="11265" width="9.140625" style="118"/>
    <col min="11266" max="11266" width="47.85546875" style="118" customWidth="1"/>
    <col min="11267" max="11267" width="37" style="118" customWidth="1"/>
    <col min="11268" max="11268" width="25.140625" style="118" customWidth="1"/>
    <col min="11269" max="11269" width="23.5703125" style="118" customWidth="1"/>
    <col min="11270" max="11270" width="26" style="118" customWidth="1"/>
    <col min="11271" max="11521" width="9.140625" style="118"/>
    <col min="11522" max="11522" width="47.85546875" style="118" customWidth="1"/>
    <col min="11523" max="11523" width="37" style="118" customWidth="1"/>
    <col min="11524" max="11524" width="25.140625" style="118" customWidth="1"/>
    <col min="11525" max="11525" width="23.5703125" style="118" customWidth="1"/>
    <col min="11526" max="11526" width="26" style="118" customWidth="1"/>
    <col min="11527" max="11777" width="9.140625" style="118"/>
    <col min="11778" max="11778" width="47.85546875" style="118" customWidth="1"/>
    <col min="11779" max="11779" width="37" style="118" customWidth="1"/>
    <col min="11780" max="11780" width="25.140625" style="118" customWidth="1"/>
    <col min="11781" max="11781" width="23.5703125" style="118" customWidth="1"/>
    <col min="11782" max="11782" width="26" style="118" customWidth="1"/>
    <col min="11783" max="12033" width="9.140625" style="118"/>
    <col min="12034" max="12034" width="47.85546875" style="118" customWidth="1"/>
    <col min="12035" max="12035" width="37" style="118" customWidth="1"/>
    <col min="12036" max="12036" width="25.140625" style="118" customWidth="1"/>
    <col min="12037" max="12037" width="23.5703125" style="118" customWidth="1"/>
    <col min="12038" max="12038" width="26" style="118" customWidth="1"/>
    <col min="12039" max="12289" width="9.140625" style="118"/>
    <col min="12290" max="12290" width="47.85546875" style="118" customWidth="1"/>
    <col min="12291" max="12291" width="37" style="118" customWidth="1"/>
    <col min="12292" max="12292" width="25.140625" style="118" customWidth="1"/>
    <col min="12293" max="12293" width="23.5703125" style="118" customWidth="1"/>
    <col min="12294" max="12294" width="26" style="118" customWidth="1"/>
    <col min="12295" max="12545" width="9.140625" style="118"/>
    <col min="12546" max="12546" width="47.85546875" style="118" customWidth="1"/>
    <col min="12547" max="12547" width="37" style="118" customWidth="1"/>
    <col min="12548" max="12548" width="25.140625" style="118" customWidth="1"/>
    <col min="12549" max="12549" width="23.5703125" style="118" customWidth="1"/>
    <col min="12550" max="12550" width="26" style="118" customWidth="1"/>
    <col min="12551" max="12801" width="9.140625" style="118"/>
    <col min="12802" max="12802" width="47.85546875" style="118" customWidth="1"/>
    <col min="12803" max="12803" width="37" style="118" customWidth="1"/>
    <col min="12804" max="12804" width="25.140625" style="118" customWidth="1"/>
    <col min="12805" max="12805" width="23.5703125" style="118" customWidth="1"/>
    <col min="12806" max="12806" width="26" style="118" customWidth="1"/>
    <col min="12807" max="13057" width="9.140625" style="118"/>
    <col min="13058" max="13058" width="47.85546875" style="118" customWidth="1"/>
    <col min="13059" max="13059" width="37" style="118" customWidth="1"/>
    <col min="13060" max="13060" width="25.140625" style="118" customWidth="1"/>
    <col min="13061" max="13061" width="23.5703125" style="118" customWidth="1"/>
    <col min="13062" max="13062" width="26" style="118" customWidth="1"/>
    <col min="13063" max="13313" width="9.140625" style="118"/>
    <col min="13314" max="13314" width="47.85546875" style="118" customWidth="1"/>
    <col min="13315" max="13315" width="37" style="118" customWidth="1"/>
    <col min="13316" max="13316" width="25.140625" style="118" customWidth="1"/>
    <col min="13317" max="13317" width="23.5703125" style="118" customWidth="1"/>
    <col min="13318" max="13318" width="26" style="118" customWidth="1"/>
    <col min="13319" max="13569" width="9.140625" style="118"/>
    <col min="13570" max="13570" width="47.85546875" style="118" customWidth="1"/>
    <col min="13571" max="13571" width="37" style="118" customWidth="1"/>
    <col min="13572" max="13572" width="25.140625" style="118" customWidth="1"/>
    <col min="13573" max="13573" width="23.5703125" style="118" customWidth="1"/>
    <col min="13574" max="13574" width="26" style="118" customWidth="1"/>
    <col min="13575" max="13825" width="9.140625" style="118"/>
    <col min="13826" max="13826" width="47.85546875" style="118" customWidth="1"/>
    <col min="13827" max="13827" width="37" style="118" customWidth="1"/>
    <col min="13828" max="13828" width="25.140625" style="118" customWidth="1"/>
    <col min="13829" max="13829" width="23.5703125" style="118" customWidth="1"/>
    <col min="13830" max="13830" width="26" style="118" customWidth="1"/>
    <col min="13831" max="14081" width="9.140625" style="118"/>
    <col min="14082" max="14082" width="47.85546875" style="118" customWidth="1"/>
    <col min="14083" max="14083" width="37" style="118" customWidth="1"/>
    <col min="14084" max="14084" width="25.140625" style="118" customWidth="1"/>
    <col min="14085" max="14085" width="23.5703125" style="118" customWidth="1"/>
    <col min="14086" max="14086" width="26" style="118" customWidth="1"/>
    <col min="14087" max="14337" width="9.140625" style="118"/>
    <col min="14338" max="14338" width="47.85546875" style="118" customWidth="1"/>
    <col min="14339" max="14339" width="37" style="118" customWidth="1"/>
    <col min="14340" max="14340" width="25.140625" style="118" customWidth="1"/>
    <col min="14341" max="14341" width="23.5703125" style="118" customWidth="1"/>
    <col min="14342" max="14342" width="26" style="118" customWidth="1"/>
    <col min="14343" max="14593" width="9.140625" style="118"/>
    <col min="14594" max="14594" width="47.85546875" style="118" customWidth="1"/>
    <col min="14595" max="14595" width="37" style="118" customWidth="1"/>
    <col min="14596" max="14596" width="25.140625" style="118" customWidth="1"/>
    <col min="14597" max="14597" width="23.5703125" style="118" customWidth="1"/>
    <col min="14598" max="14598" width="26" style="118" customWidth="1"/>
    <col min="14599" max="14849" width="9.140625" style="118"/>
    <col min="14850" max="14850" width="47.85546875" style="118" customWidth="1"/>
    <col min="14851" max="14851" width="37" style="118" customWidth="1"/>
    <col min="14852" max="14852" width="25.140625" style="118" customWidth="1"/>
    <col min="14853" max="14853" width="23.5703125" style="118" customWidth="1"/>
    <col min="14854" max="14854" width="26" style="118" customWidth="1"/>
    <col min="14855" max="15105" width="9.140625" style="118"/>
    <col min="15106" max="15106" width="47.85546875" style="118" customWidth="1"/>
    <col min="15107" max="15107" width="37" style="118" customWidth="1"/>
    <col min="15108" max="15108" width="25.140625" style="118" customWidth="1"/>
    <col min="15109" max="15109" width="23.5703125" style="118" customWidth="1"/>
    <col min="15110" max="15110" width="26" style="118" customWidth="1"/>
    <col min="15111" max="15361" width="9.140625" style="118"/>
    <col min="15362" max="15362" width="47.85546875" style="118" customWidth="1"/>
    <col min="15363" max="15363" width="37" style="118" customWidth="1"/>
    <col min="15364" max="15364" width="25.140625" style="118" customWidth="1"/>
    <col min="15365" max="15365" width="23.5703125" style="118" customWidth="1"/>
    <col min="15366" max="15366" width="26" style="118" customWidth="1"/>
    <col min="15367" max="15617" width="9.140625" style="118"/>
    <col min="15618" max="15618" width="47.85546875" style="118" customWidth="1"/>
    <col min="15619" max="15619" width="37" style="118" customWidth="1"/>
    <col min="15620" max="15620" width="25.140625" style="118" customWidth="1"/>
    <col min="15621" max="15621" width="23.5703125" style="118" customWidth="1"/>
    <col min="15622" max="15622" width="26" style="118" customWidth="1"/>
    <col min="15623" max="15873" width="9.140625" style="118"/>
    <col min="15874" max="15874" width="47.85546875" style="118" customWidth="1"/>
    <col min="15875" max="15875" width="37" style="118" customWidth="1"/>
    <col min="15876" max="15876" width="25.140625" style="118" customWidth="1"/>
    <col min="15877" max="15877" width="23.5703125" style="118" customWidth="1"/>
    <col min="15878" max="15878" width="26" style="118" customWidth="1"/>
    <col min="15879" max="16129" width="9.140625" style="118"/>
    <col min="16130" max="16130" width="47.85546875" style="118" customWidth="1"/>
    <col min="16131" max="16131" width="37" style="118" customWidth="1"/>
    <col min="16132" max="16132" width="25.140625" style="118" customWidth="1"/>
    <col min="16133" max="16133" width="23.5703125" style="118" customWidth="1"/>
    <col min="16134" max="16134" width="26" style="118" customWidth="1"/>
    <col min="16135" max="16384" width="9.140625" style="118"/>
  </cols>
  <sheetData>
    <row r="2" spans="1:8" ht="1.5" hidden="1" customHeight="1">
      <c r="F2" s="119" t="s">
        <v>223</v>
      </c>
      <c r="G2" s="120"/>
      <c r="H2" s="120"/>
    </row>
    <row r="3" spans="1:8" ht="1.5" hidden="1" customHeight="1">
      <c r="D3" s="121"/>
      <c r="F3" s="119"/>
      <c r="G3" s="120"/>
      <c r="H3" s="120"/>
    </row>
    <row r="4" spans="1:8" ht="18.75">
      <c r="A4" s="583" t="s">
        <v>284</v>
      </c>
      <c r="B4" s="584"/>
      <c r="C4" s="584"/>
      <c r="D4" s="584"/>
      <c r="E4" s="584"/>
      <c r="F4" s="584"/>
      <c r="G4" s="584"/>
      <c r="H4" s="584"/>
    </row>
    <row r="5" spans="1:8" ht="3.75" hidden="1" customHeight="1">
      <c r="F5" s="119" t="s">
        <v>223</v>
      </c>
      <c r="G5" s="122"/>
    </row>
    <row r="6" spans="1:8" ht="9" hidden="1" customHeight="1">
      <c r="F6" s="119"/>
    </row>
    <row r="7" spans="1:8" ht="10.5" customHeight="1">
      <c r="F7" s="119"/>
    </row>
    <row r="8" spans="1:8" ht="47.25" customHeight="1">
      <c r="A8" s="229" t="s">
        <v>0</v>
      </c>
      <c r="B8" s="230" t="s">
        <v>1</v>
      </c>
      <c r="C8" s="231" t="s">
        <v>2</v>
      </c>
      <c r="D8" s="228" t="s">
        <v>193</v>
      </c>
      <c r="E8" s="228" t="s">
        <v>224</v>
      </c>
      <c r="F8" s="228" t="s">
        <v>225</v>
      </c>
      <c r="G8" s="228" t="s">
        <v>226</v>
      </c>
      <c r="H8" s="205" t="s">
        <v>283</v>
      </c>
    </row>
    <row r="9" spans="1:8">
      <c r="A9" s="206">
        <v>10</v>
      </c>
      <c r="B9" s="124"/>
      <c r="C9" s="125"/>
      <c r="D9" s="126" t="s">
        <v>5</v>
      </c>
      <c r="E9" s="126"/>
      <c r="F9" s="126"/>
      <c r="G9" s="126"/>
      <c r="H9" s="207">
        <f>H10+H13</f>
        <v>299000</v>
      </c>
    </row>
    <row r="10" spans="1:8">
      <c r="A10" s="190"/>
      <c r="B10" s="124">
        <v>1008</v>
      </c>
      <c r="C10" s="125"/>
      <c r="D10" s="126" t="s">
        <v>92</v>
      </c>
      <c r="E10" s="126"/>
      <c r="F10" s="126"/>
      <c r="G10" s="126"/>
      <c r="H10" s="207">
        <f>SUM(H12)</f>
        <v>99000</v>
      </c>
    </row>
    <row r="11" spans="1:8" ht="17.25" customHeight="1">
      <c r="A11" s="190"/>
      <c r="B11" s="124"/>
      <c r="C11" s="125">
        <v>6050</v>
      </c>
      <c r="D11" s="127" t="s">
        <v>98</v>
      </c>
      <c r="E11" s="128"/>
      <c r="F11" s="133"/>
      <c r="G11" s="133"/>
      <c r="H11" s="208">
        <f>H12</f>
        <v>99000</v>
      </c>
    </row>
    <row r="12" spans="1:8" ht="25.5">
      <c r="A12" s="190"/>
      <c r="B12" s="124"/>
      <c r="C12" s="129"/>
      <c r="D12" s="524" t="s">
        <v>227</v>
      </c>
      <c r="E12" s="525" t="s">
        <v>228</v>
      </c>
      <c r="F12" s="505" t="s">
        <v>438</v>
      </c>
      <c r="G12" s="507">
        <f>100000+4000000</f>
        <v>4100000</v>
      </c>
      <c r="H12" s="526">
        <v>99000</v>
      </c>
    </row>
    <row r="13" spans="1:8">
      <c r="A13" s="190"/>
      <c r="B13" s="124">
        <v>1044</v>
      </c>
      <c r="C13" s="129"/>
      <c r="D13" s="126" t="s">
        <v>6</v>
      </c>
      <c r="E13" s="126"/>
      <c r="F13" s="134"/>
      <c r="G13" s="134"/>
      <c r="H13" s="209">
        <f>H14</f>
        <v>200000</v>
      </c>
    </row>
    <row r="14" spans="1:8" ht="17.25" customHeight="1">
      <c r="A14" s="190"/>
      <c r="B14" s="124"/>
      <c r="C14" s="129">
        <v>6050</v>
      </c>
      <c r="D14" s="127" t="s">
        <v>98</v>
      </c>
      <c r="E14" s="127"/>
      <c r="F14" s="135"/>
      <c r="G14" s="135"/>
      <c r="H14" s="208">
        <f>H15</f>
        <v>200000</v>
      </c>
    </row>
    <row r="15" spans="1:8" ht="25.5">
      <c r="A15" s="190"/>
      <c r="B15" s="124"/>
      <c r="C15" s="129"/>
      <c r="D15" s="131" t="s">
        <v>285</v>
      </c>
      <c r="E15" s="147" t="s">
        <v>228</v>
      </c>
      <c r="F15" s="147">
        <v>2024</v>
      </c>
      <c r="G15" s="143">
        <v>200000</v>
      </c>
      <c r="H15" s="210">
        <v>200000</v>
      </c>
    </row>
    <row r="16" spans="1:8">
      <c r="A16" s="190">
        <v>600</v>
      </c>
      <c r="B16" s="124"/>
      <c r="C16" s="125"/>
      <c r="D16" s="126" t="s">
        <v>12</v>
      </c>
      <c r="E16" s="130"/>
      <c r="F16" s="136"/>
      <c r="G16" s="136"/>
      <c r="H16" s="211">
        <f>H17+H22+H30</f>
        <v>32828902</v>
      </c>
    </row>
    <row r="17" spans="1:8">
      <c r="A17" s="190"/>
      <c r="B17" s="124">
        <v>60004</v>
      </c>
      <c r="C17" s="125"/>
      <c r="D17" s="126" t="s">
        <v>14</v>
      </c>
      <c r="E17" s="130"/>
      <c r="F17" s="136"/>
      <c r="G17" s="136"/>
      <c r="H17" s="211">
        <f>H18+H20</f>
        <v>1056434</v>
      </c>
    </row>
    <row r="18" spans="1:8" ht="63.75">
      <c r="A18" s="190"/>
      <c r="B18" s="124"/>
      <c r="C18" s="125">
        <v>6650</v>
      </c>
      <c r="D18" s="131" t="s">
        <v>207</v>
      </c>
      <c r="E18" s="132"/>
      <c r="F18" s="132"/>
      <c r="G18" s="132"/>
      <c r="H18" s="210">
        <f>SUM(H19)</f>
        <v>56434</v>
      </c>
    </row>
    <row r="19" spans="1:8" ht="38.25">
      <c r="A19" s="190"/>
      <c r="B19" s="124"/>
      <c r="C19" s="129"/>
      <c r="D19" s="131" t="s">
        <v>230</v>
      </c>
      <c r="E19" s="147" t="s">
        <v>228</v>
      </c>
      <c r="F19" s="147" t="s">
        <v>229</v>
      </c>
      <c r="G19" s="143">
        <f>116875-2003</f>
        <v>114872</v>
      </c>
      <c r="H19" s="210">
        <v>56434</v>
      </c>
    </row>
    <row r="20" spans="1:8">
      <c r="A20" s="190"/>
      <c r="B20" s="124"/>
      <c r="C20" s="286">
        <v>6010</v>
      </c>
      <c r="D20" s="500" t="s">
        <v>434</v>
      </c>
      <c r="E20" s="501"/>
      <c r="F20" s="501"/>
      <c r="G20" s="502"/>
      <c r="H20" s="503">
        <v>1000000</v>
      </c>
    </row>
    <row r="21" spans="1:8" ht="25.5">
      <c r="A21" s="190"/>
      <c r="B21" s="124"/>
      <c r="C21" s="504"/>
      <c r="D21" s="500" t="s">
        <v>451</v>
      </c>
      <c r="E21" s="505" t="s">
        <v>228</v>
      </c>
      <c r="F21" s="505">
        <v>2024</v>
      </c>
      <c r="G21" s="502"/>
      <c r="H21" s="503">
        <v>1000000</v>
      </c>
    </row>
    <row r="22" spans="1:8">
      <c r="A22" s="190"/>
      <c r="B22" s="124">
        <v>60014</v>
      </c>
      <c r="C22" s="125"/>
      <c r="D22" s="126" t="s">
        <v>15</v>
      </c>
      <c r="E22" s="126"/>
      <c r="F22" s="126"/>
      <c r="G22" s="126"/>
      <c r="H22" s="207">
        <f>H23+H27</f>
        <v>2731668</v>
      </c>
    </row>
    <row r="23" spans="1:8" ht="15.75">
      <c r="A23" s="9"/>
      <c r="B23" s="10"/>
      <c r="C23" s="125">
        <v>6050</v>
      </c>
      <c r="D23" s="126" t="s">
        <v>98</v>
      </c>
      <c r="E23" s="147"/>
      <c r="F23" s="147"/>
      <c r="G23" s="143"/>
      <c r="H23" s="210">
        <f>SUM(H24:H26)</f>
        <v>1605000</v>
      </c>
    </row>
    <row r="24" spans="1:8" ht="51">
      <c r="A24" s="9"/>
      <c r="B24" s="10"/>
      <c r="C24" s="123"/>
      <c r="D24" s="126" t="s">
        <v>231</v>
      </c>
      <c r="E24" s="148" t="s">
        <v>228</v>
      </c>
      <c r="F24" s="148" t="s">
        <v>232</v>
      </c>
      <c r="G24" s="141">
        <f>2380000-104000+250000+424151+564849</f>
        <v>3515000</v>
      </c>
      <c r="H24" s="212">
        <f>500000-104000-385000+2404000-2000000</f>
        <v>415000</v>
      </c>
    </row>
    <row r="25" spans="1:8" ht="15.75">
      <c r="A25" s="9"/>
      <c r="B25" s="10"/>
      <c r="C25" s="123"/>
      <c r="D25" s="232" t="s">
        <v>286</v>
      </c>
      <c r="E25" s="148" t="s">
        <v>228</v>
      </c>
      <c r="F25" s="148">
        <v>2024</v>
      </c>
      <c r="G25" s="141">
        <v>1000000</v>
      </c>
      <c r="H25" s="212">
        <v>1000000</v>
      </c>
    </row>
    <row r="26" spans="1:8" ht="51">
      <c r="A26" s="9"/>
      <c r="B26" s="10"/>
      <c r="C26" s="11"/>
      <c r="D26" s="162" t="s">
        <v>233</v>
      </c>
      <c r="E26" s="147" t="s">
        <v>228</v>
      </c>
      <c r="F26" s="147" t="s">
        <v>229</v>
      </c>
      <c r="G26" s="143">
        <f>150000+70000</f>
        <v>220000</v>
      </c>
      <c r="H26" s="210">
        <f>150000-20000-10000+70000</f>
        <v>190000</v>
      </c>
    </row>
    <row r="27" spans="1:8" ht="51">
      <c r="A27" s="9"/>
      <c r="B27" s="10"/>
      <c r="C27" s="180">
        <v>6300</v>
      </c>
      <c r="D27" s="131" t="s">
        <v>109</v>
      </c>
      <c r="E27" s="148"/>
      <c r="F27" s="147"/>
      <c r="G27" s="143"/>
      <c r="H27" s="210">
        <f>SUM(H28:H29)</f>
        <v>1126668</v>
      </c>
    </row>
    <row r="28" spans="1:8" ht="51">
      <c r="A28" s="62"/>
      <c r="B28" s="63"/>
      <c r="C28" s="286"/>
      <c r="D28" s="126" t="s">
        <v>347</v>
      </c>
      <c r="E28" s="147" t="s">
        <v>228</v>
      </c>
      <c r="F28" s="147">
        <v>2024</v>
      </c>
      <c r="G28" s="143">
        <v>1096668</v>
      </c>
      <c r="H28" s="210">
        <v>1096668</v>
      </c>
    </row>
    <row r="29" spans="1:8" ht="38.25">
      <c r="A29" s="9"/>
      <c r="B29" s="10"/>
      <c r="C29" s="125"/>
      <c r="D29" s="233" t="s">
        <v>287</v>
      </c>
      <c r="E29" s="147" t="s">
        <v>228</v>
      </c>
      <c r="F29" s="147" t="s">
        <v>229</v>
      </c>
      <c r="G29" s="143">
        <v>30000</v>
      </c>
      <c r="H29" s="210">
        <f t="shared" ref="H29" si="0">20000+10000</f>
        <v>30000</v>
      </c>
    </row>
    <row r="30" spans="1:8">
      <c r="A30" s="190"/>
      <c r="B30" s="124">
        <v>60016</v>
      </c>
      <c r="C30" s="125"/>
      <c r="D30" s="126" t="s">
        <v>16</v>
      </c>
      <c r="E30" s="126"/>
      <c r="F30" s="126"/>
      <c r="G30" s="126"/>
      <c r="H30" s="196">
        <f>H31+H63</f>
        <v>29040800</v>
      </c>
    </row>
    <row r="31" spans="1:8" ht="15.75">
      <c r="A31" s="9"/>
      <c r="B31" s="10"/>
      <c r="C31" s="125">
        <v>6050</v>
      </c>
      <c r="D31" s="126" t="s">
        <v>98</v>
      </c>
      <c r="E31" s="147"/>
      <c r="F31" s="147"/>
      <c r="G31" s="143"/>
      <c r="H31" s="213">
        <f>SUM(H32:H62)</f>
        <v>26040800</v>
      </c>
    </row>
    <row r="32" spans="1:8" ht="19.5" customHeight="1">
      <c r="A32" s="9"/>
      <c r="B32" s="10"/>
      <c r="C32" s="123"/>
      <c r="D32" s="131" t="s">
        <v>240</v>
      </c>
      <c r="E32" s="147" t="s">
        <v>228</v>
      </c>
      <c r="F32" s="147" t="s">
        <v>241</v>
      </c>
      <c r="G32" s="150">
        <f>2000000+1150000</f>
        <v>3150000</v>
      </c>
      <c r="H32" s="214">
        <f>999000</f>
        <v>999000</v>
      </c>
    </row>
    <row r="33" spans="1:8" ht="18.75" customHeight="1">
      <c r="A33" s="9"/>
      <c r="B33" s="10"/>
      <c r="C33" s="123"/>
      <c r="D33" s="131" t="s">
        <v>249</v>
      </c>
      <c r="E33" s="147" t="s">
        <v>228</v>
      </c>
      <c r="F33" s="147" t="s">
        <v>229</v>
      </c>
      <c r="G33" s="150">
        <v>70000</v>
      </c>
      <c r="H33" s="214">
        <f>70000-2000</f>
        <v>68000</v>
      </c>
    </row>
    <row r="34" spans="1:8" ht="19.5" customHeight="1">
      <c r="A34" s="9"/>
      <c r="B34" s="10"/>
      <c r="C34" s="123"/>
      <c r="D34" s="131" t="s">
        <v>248</v>
      </c>
      <c r="E34" s="147" t="s">
        <v>228</v>
      </c>
      <c r="F34" s="147" t="s">
        <v>229</v>
      </c>
      <c r="G34" s="150">
        <v>80000</v>
      </c>
      <c r="H34" s="214">
        <f>80000-2000</f>
        <v>78000</v>
      </c>
    </row>
    <row r="35" spans="1:8" ht="19.5" customHeight="1">
      <c r="A35" s="9"/>
      <c r="B35" s="10"/>
      <c r="C35" s="123"/>
      <c r="D35" s="131" t="s">
        <v>318</v>
      </c>
      <c r="E35" s="147" t="s">
        <v>228</v>
      </c>
      <c r="F35" s="167" t="s">
        <v>290</v>
      </c>
      <c r="G35" s="151">
        <v>100000</v>
      </c>
      <c r="H35" s="215">
        <v>10000</v>
      </c>
    </row>
    <row r="36" spans="1:8" ht="19.5" customHeight="1">
      <c r="A36" s="9"/>
      <c r="B36" s="10"/>
      <c r="C36" s="123"/>
      <c r="D36" s="126" t="s">
        <v>247</v>
      </c>
      <c r="E36" s="148" t="s">
        <v>228</v>
      </c>
      <c r="F36" s="148" t="s">
        <v>229</v>
      </c>
      <c r="G36" s="151">
        <v>50000</v>
      </c>
      <c r="H36" s="215">
        <f>50000-2000</f>
        <v>48000</v>
      </c>
    </row>
    <row r="37" spans="1:8" ht="19.5" customHeight="1">
      <c r="A37" s="9"/>
      <c r="B37" s="10"/>
      <c r="C37" s="123"/>
      <c r="D37" s="131" t="s">
        <v>243</v>
      </c>
      <c r="E37" s="147" t="s">
        <v>228</v>
      </c>
      <c r="F37" s="147" t="s">
        <v>229</v>
      </c>
      <c r="G37" s="150">
        <f>100000-35000+30000</f>
        <v>95000</v>
      </c>
      <c r="H37" s="214">
        <v>93000</v>
      </c>
    </row>
    <row r="38" spans="1:8" ht="19.5" customHeight="1">
      <c r="A38" s="9"/>
      <c r="B38" s="10"/>
      <c r="C38" s="123"/>
      <c r="D38" s="131" t="s">
        <v>244</v>
      </c>
      <c r="E38" s="147" t="s">
        <v>228</v>
      </c>
      <c r="F38" s="147" t="s">
        <v>229</v>
      </c>
      <c r="G38" s="150">
        <v>100000</v>
      </c>
      <c r="H38" s="214">
        <f>100000-2000</f>
        <v>98000</v>
      </c>
    </row>
    <row r="39" spans="1:8" ht="25.5">
      <c r="A39" s="9"/>
      <c r="B39" s="10"/>
      <c r="C39" s="123"/>
      <c r="D39" s="128" t="s">
        <v>245</v>
      </c>
      <c r="E39" s="146" t="s">
        <v>228</v>
      </c>
      <c r="F39" s="146" t="s">
        <v>229</v>
      </c>
      <c r="G39" s="154">
        <v>120000</v>
      </c>
      <c r="H39" s="216">
        <f>120000-2000</f>
        <v>118000</v>
      </c>
    </row>
    <row r="40" spans="1:8" ht="19.5" customHeight="1">
      <c r="A40" s="9"/>
      <c r="B40" s="10"/>
      <c r="C40" s="123"/>
      <c r="D40" s="131" t="s">
        <v>246</v>
      </c>
      <c r="E40" s="147" t="s">
        <v>228</v>
      </c>
      <c r="F40" s="147" t="s">
        <v>229</v>
      </c>
      <c r="G40" s="150">
        <v>130000</v>
      </c>
      <c r="H40" s="214">
        <f>130000-1000</f>
        <v>129000</v>
      </c>
    </row>
    <row r="41" spans="1:8" ht="25.5">
      <c r="A41" s="9"/>
      <c r="B41" s="10"/>
      <c r="C41" s="123"/>
      <c r="D41" s="131" t="s">
        <v>288</v>
      </c>
      <c r="E41" s="147" t="s">
        <v>228</v>
      </c>
      <c r="F41" s="147" t="s">
        <v>290</v>
      </c>
      <c r="G41" s="155">
        <v>1600000</v>
      </c>
      <c r="H41" s="214">
        <f>1600000-1500000</f>
        <v>100000</v>
      </c>
    </row>
    <row r="42" spans="1:8" ht="19.5" customHeight="1">
      <c r="A42" s="9"/>
      <c r="B42" s="10"/>
      <c r="C42" s="123"/>
      <c r="D42" s="176" t="s">
        <v>289</v>
      </c>
      <c r="E42" s="167" t="s">
        <v>228</v>
      </c>
      <c r="F42" s="167" t="s">
        <v>290</v>
      </c>
      <c r="G42" s="177">
        <v>2500000</v>
      </c>
      <c r="H42" s="217">
        <f>2500000-500000-1500000</f>
        <v>500000</v>
      </c>
    </row>
    <row r="43" spans="1:8" ht="38.25">
      <c r="A43" s="9"/>
      <c r="B43" s="10"/>
      <c r="C43" s="123"/>
      <c r="D43" s="176" t="s">
        <v>294</v>
      </c>
      <c r="E43" s="167" t="s">
        <v>228</v>
      </c>
      <c r="F43" s="167" t="s">
        <v>290</v>
      </c>
      <c r="G43" s="177">
        <v>400000</v>
      </c>
      <c r="H43" s="217">
        <f>400000-100000</f>
        <v>300000</v>
      </c>
    </row>
    <row r="44" spans="1:8" ht="15.75">
      <c r="A44" s="9"/>
      <c r="B44" s="10"/>
      <c r="C44" s="123"/>
      <c r="D44" s="176" t="s">
        <v>365</v>
      </c>
      <c r="E44" s="167" t="s">
        <v>228</v>
      </c>
      <c r="F44" s="167" t="s">
        <v>290</v>
      </c>
      <c r="G44" s="177">
        <v>80000</v>
      </c>
      <c r="H44" s="217">
        <v>1000</v>
      </c>
    </row>
    <row r="45" spans="1:8" ht="19.5" customHeight="1">
      <c r="A45" s="204"/>
      <c r="B45" s="10"/>
      <c r="C45" s="123"/>
      <c r="D45" s="127" t="s">
        <v>242</v>
      </c>
      <c r="E45" s="152" t="s">
        <v>228</v>
      </c>
      <c r="F45" s="152" t="s">
        <v>229</v>
      </c>
      <c r="G45" s="153">
        <v>100000</v>
      </c>
      <c r="H45" s="218">
        <f>100000-2000</f>
        <v>98000</v>
      </c>
    </row>
    <row r="46" spans="1:8" ht="19.5" customHeight="1">
      <c r="A46" s="9"/>
      <c r="B46" s="10"/>
      <c r="C46" s="123"/>
      <c r="D46" s="131" t="s">
        <v>250</v>
      </c>
      <c r="E46" s="147" t="s">
        <v>228</v>
      </c>
      <c r="F46" s="147" t="s">
        <v>229</v>
      </c>
      <c r="G46" s="150">
        <v>100000</v>
      </c>
      <c r="H46" s="214">
        <f>100000-2000</f>
        <v>98000</v>
      </c>
    </row>
    <row r="47" spans="1:8" ht="18" customHeight="1">
      <c r="A47" s="9"/>
      <c r="B47" s="10"/>
      <c r="C47" s="123"/>
      <c r="D47" s="126" t="s">
        <v>251</v>
      </c>
      <c r="E47" s="148" t="s">
        <v>228</v>
      </c>
      <c r="F47" s="148" t="s">
        <v>229</v>
      </c>
      <c r="G47" s="151">
        <v>100000</v>
      </c>
      <c r="H47" s="215">
        <f>100000-2000</f>
        <v>98000</v>
      </c>
    </row>
    <row r="48" spans="1:8" ht="27" customHeight="1">
      <c r="A48" s="9"/>
      <c r="B48" s="10"/>
      <c r="C48" s="123"/>
      <c r="D48" s="126" t="s">
        <v>252</v>
      </c>
      <c r="E48" s="148" t="s">
        <v>228</v>
      </c>
      <c r="F48" s="148" t="s">
        <v>253</v>
      </c>
      <c r="G48" s="151">
        <v>12000000</v>
      </c>
      <c r="H48" s="215">
        <f>12000000-1000-7000000</f>
        <v>4999000</v>
      </c>
    </row>
    <row r="49" spans="1:8" ht="19.5" customHeight="1">
      <c r="A49" s="9"/>
      <c r="B49" s="10"/>
      <c r="C49" s="123"/>
      <c r="D49" s="500" t="s">
        <v>254</v>
      </c>
      <c r="E49" s="501" t="s">
        <v>228</v>
      </c>
      <c r="F49" s="501" t="s">
        <v>253</v>
      </c>
      <c r="G49" s="522">
        <f>1000+1999000+2000000+800000</f>
        <v>4800000</v>
      </c>
      <c r="H49" s="523">
        <f>4000000-1000-2000000-1000000</f>
        <v>999000</v>
      </c>
    </row>
    <row r="50" spans="1:8" ht="25.5">
      <c r="A50" s="9"/>
      <c r="B50" s="10"/>
      <c r="C50" s="123"/>
      <c r="D50" s="126" t="s">
        <v>255</v>
      </c>
      <c r="E50" s="148" t="s">
        <v>228</v>
      </c>
      <c r="F50" s="148" t="s">
        <v>253</v>
      </c>
      <c r="G50" s="151">
        <f>1000+499000+1000000</f>
        <v>1500000</v>
      </c>
      <c r="H50" s="215">
        <f>1500000-1000-1000000</f>
        <v>499000</v>
      </c>
    </row>
    <row r="51" spans="1:8" ht="17.25" customHeight="1">
      <c r="A51" s="9"/>
      <c r="B51" s="10"/>
      <c r="C51" s="123"/>
      <c r="D51" s="521" t="s">
        <v>291</v>
      </c>
      <c r="E51" s="533" t="s">
        <v>228</v>
      </c>
      <c r="F51" s="533" t="s">
        <v>290</v>
      </c>
      <c r="G51" s="551">
        <f>4000000+300000</f>
        <v>4300000</v>
      </c>
      <c r="H51" s="552">
        <f>4000000-3000000</f>
        <v>1000000</v>
      </c>
    </row>
    <row r="52" spans="1:8" ht="25.5">
      <c r="A52" s="9"/>
      <c r="B52" s="10"/>
      <c r="C52" s="123"/>
      <c r="D52" s="145" t="s">
        <v>342</v>
      </c>
      <c r="E52" s="172" t="s">
        <v>228</v>
      </c>
      <c r="F52" s="172">
        <v>2024</v>
      </c>
      <c r="G52" s="178">
        <f>600000+170000</f>
        <v>770000</v>
      </c>
      <c r="H52" s="219">
        <f>600000+170000</f>
        <v>770000</v>
      </c>
    </row>
    <row r="53" spans="1:8" ht="38.25">
      <c r="A53" s="9"/>
      <c r="B53" s="137"/>
      <c r="C53" s="139"/>
      <c r="D53" s="131" t="s">
        <v>236</v>
      </c>
      <c r="E53" s="147" t="s">
        <v>228</v>
      </c>
      <c r="F53" s="147" t="s">
        <v>237</v>
      </c>
      <c r="G53" s="150">
        <v>5410000</v>
      </c>
      <c r="H53" s="214">
        <f>2900000-2700000</f>
        <v>200000</v>
      </c>
    </row>
    <row r="54" spans="1:8" ht="51">
      <c r="A54" s="220"/>
      <c r="B54" s="10"/>
      <c r="C54" s="123"/>
      <c r="D54" s="126" t="s">
        <v>238</v>
      </c>
      <c r="E54" s="148" t="s">
        <v>228</v>
      </c>
      <c r="F54" s="148" t="s">
        <v>229</v>
      </c>
      <c r="G54" s="151">
        <f>5000000+957800+1500000+2000000</f>
        <v>9457800</v>
      </c>
      <c r="H54" s="215">
        <f>5000000-1000+957800+1500000+2000000</f>
        <v>9456800</v>
      </c>
    </row>
    <row r="55" spans="1:8" ht="25.5">
      <c r="A55" s="9"/>
      <c r="B55" s="10"/>
      <c r="C55" s="139"/>
      <c r="D55" s="506" t="s">
        <v>256</v>
      </c>
      <c r="E55" s="505" t="s">
        <v>228</v>
      </c>
      <c r="F55" s="505" t="s">
        <v>229</v>
      </c>
      <c r="G55" s="507">
        <f>100000+12000</f>
        <v>112000</v>
      </c>
      <c r="H55" s="508">
        <f>100000-2000+12000</f>
        <v>110000</v>
      </c>
    </row>
    <row r="56" spans="1:8" ht="15.75" customHeight="1">
      <c r="A56" s="9"/>
      <c r="B56" s="10"/>
      <c r="C56" s="139"/>
      <c r="D56" s="131" t="s">
        <v>257</v>
      </c>
      <c r="E56" s="147" t="s">
        <v>228</v>
      </c>
      <c r="F56" s="147" t="s">
        <v>229</v>
      </c>
      <c r="G56" s="150">
        <v>3500000</v>
      </c>
      <c r="H56" s="214">
        <f>3500000-1000-H64</f>
        <v>499000</v>
      </c>
    </row>
    <row r="57" spans="1:8" ht="25.5">
      <c r="A57" s="9"/>
      <c r="B57" s="10"/>
      <c r="C57" s="123"/>
      <c r="D57" s="131" t="s">
        <v>292</v>
      </c>
      <c r="E57" s="147" t="s">
        <v>228</v>
      </c>
      <c r="F57" s="147">
        <v>2024</v>
      </c>
      <c r="G57" s="150">
        <v>250000</v>
      </c>
      <c r="H57" s="214">
        <v>250000</v>
      </c>
    </row>
    <row r="58" spans="1:8" ht="15.75">
      <c r="A58" s="9"/>
      <c r="B58" s="10"/>
      <c r="C58" s="123"/>
      <c r="D58" s="506" t="s">
        <v>435</v>
      </c>
      <c r="E58" s="505" t="s">
        <v>228</v>
      </c>
      <c r="F58" s="505">
        <v>2024</v>
      </c>
      <c r="G58" s="507">
        <v>600000</v>
      </c>
      <c r="H58" s="508">
        <v>600000</v>
      </c>
    </row>
    <row r="59" spans="1:8" ht="15.75" customHeight="1">
      <c r="A59" s="9"/>
      <c r="B59" s="10"/>
      <c r="C59" s="123"/>
      <c r="D59" s="131" t="s">
        <v>234</v>
      </c>
      <c r="E59" s="147" t="s">
        <v>228</v>
      </c>
      <c r="F59" s="147" t="s">
        <v>235</v>
      </c>
      <c r="G59" s="150">
        <f>960000+1740000</f>
        <v>2700000</v>
      </c>
      <c r="H59" s="214">
        <v>2599000</v>
      </c>
    </row>
    <row r="60" spans="1:8" ht="17.25" customHeight="1">
      <c r="A60" s="9"/>
      <c r="B60" s="10"/>
      <c r="C60" s="123"/>
      <c r="D60" s="131" t="s">
        <v>258</v>
      </c>
      <c r="E60" s="147" t="s">
        <v>228</v>
      </c>
      <c r="F60" s="147" t="s">
        <v>229</v>
      </c>
      <c r="G60" s="150">
        <f>90000+35000</f>
        <v>125000</v>
      </c>
      <c r="H60" s="214">
        <f>125000-2000</f>
        <v>123000</v>
      </c>
    </row>
    <row r="61" spans="1:8" ht="16.5" customHeight="1">
      <c r="A61" s="9"/>
      <c r="B61" s="10"/>
      <c r="C61" s="123"/>
      <c r="D61" s="145" t="s">
        <v>293</v>
      </c>
      <c r="E61" s="167" t="s">
        <v>228</v>
      </c>
      <c r="F61" s="172" t="s">
        <v>253</v>
      </c>
      <c r="G61" s="178">
        <v>2700000</v>
      </c>
      <c r="H61" s="219">
        <f>2700000-700000-1300000</f>
        <v>700000</v>
      </c>
    </row>
    <row r="62" spans="1:8" ht="38.25">
      <c r="A62" s="9"/>
      <c r="B62" s="10"/>
      <c r="C62" s="123"/>
      <c r="D62" s="126" t="s">
        <v>308</v>
      </c>
      <c r="E62" s="147" t="s">
        <v>228</v>
      </c>
      <c r="F62" s="148">
        <v>2024</v>
      </c>
      <c r="G62" s="151">
        <v>400000</v>
      </c>
      <c r="H62" s="215">
        <v>400000</v>
      </c>
    </row>
    <row r="63" spans="1:8" ht="38.25">
      <c r="A63" s="9"/>
      <c r="B63" s="10"/>
      <c r="C63" s="125">
        <v>6370</v>
      </c>
      <c r="D63" s="126" t="s">
        <v>218</v>
      </c>
      <c r="E63" s="148"/>
      <c r="F63" s="148"/>
      <c r="G63" s="151"/>
      <c r="H63" s="215">
        <f>H64</f>
        <v>3000000</v>
      </c>
    </row>
    <row r="64" spans="1:8" ht="15.75">
      <c r="A64" s="9"/>
      <c r="B64" s="10"/>
      <c r="C64" s="125"/>
      <c r="D64" s="131" t="s">
        <v>257</v>
      </c>
      <c r="E64" s="147" t="s">
        <v>228</v>
      </c>
      <c r="F64" s="147" t="s">
        <v>229</v>
      </c>
      <c r="G64" s="150"/>
      <c r="H64" s="214">
        <v>3000000</v>
      </c>
    </row>
    <row r="65" spans="1:8" ht="15.75">
      <c r="A65" s="190">
        <v>700</v>
      </c>
      <c r="B65" s="124"/>
      <c r="C65" s="125"/>
      <c r="D65" s="126" t="s">
        <v>18</v>
      </c>
      <c r="E65" s="12"/>
      <c r="F65" s="12"/>
      <c r="G65" s="12"/>
      <c r="H65" s="196">
        <f>H66+H71+H74</f>
        <v>8110000</v>
      </c>
    </row>
    <row r="66" spans="1:8">
      <c r="A66" s="190"/>
      <c r="B66" s="124">
        <v>70005</v>
      </c>
      <c r="C66" s="125"/>
      <c r="D66" s="126" t="s">
        <v>21</v>
      </c>
      <c r="E66" s="126"/>
      <c r="F66" s="126"/>
      <c r="G66" s="126"/>
      <c r="H66" s="196">
        <f>H67+H69</f>
        <v>4340000</v>
      </c>
    </row>
    <row r="67" spans="1:8">
      <c r="A67" s="190"/>
      <c r="B67" s="124"/>
      <c r="C67" s="125">
        <v>6050</v>
      </c>
      <c r="D67" s="126" t="s">
        <v>98</v>
      </c>
      <c r="E67" s="134"/>
      <c r="F67" s="134"/>
      <c r="G67" s="134"/>
      <c r="H67" s="215">
        <f>H68</f>
        <v>550000</v>
      </c>
    </row>
    <row r="68" spans="1:8" ht="25.5">
      <c r="A68" s="190"/>
      <c r="B68" s="124"/>
      <c r="C68" s="129"/>
      <c r="D68" s="500" t="s">
        <v>260</v>
      </c>
      <c r="E68" s="501" t="s">
        <v>228</v>
      </c>
      <c r="F68" s="501" t="s">
        <v>229</v>
      </c>
      <c r="G68" s="522">
        <f>1200000-100000</f>
        <v>1100000</v>
      </c>
      <c r="H68" s="523">
        <f>650000-100000</f>
        <v>550000</v>
      </c>
    </row>
    <row r="69" spans="1:8" ht="25.5">
      <c r="A69" s="190"/>
      <c r="B69" s="124"/>
      <c r="C69" s="125">
        <v>6060</v>
      </c>
      <c r="D69" s="126" t="s">
        <v>112</v>
      </c>
      <c r="E69" s="148"/>
      <c r="F69" s="148"/>
      <c r="G69" s="151"/>
      <c r="H69" s="215">
        <f>H70</f>
        <v>3790000</v>
      </c>
    </row>
    <row r="70" spans="1:8" ht="12.75" customHeight="1">
      <c r="A70" s="9"/>
      <c r="B70" s="10"/>
      <c r="C70" s="139"/>
      <c r="D70" s="156" t="s">
        <v>259</v>
      </c>
      <c r="E70" s="147" t="s">
        <v>228</v>
      </c>
      <c r="F70" s="147" t="s">
        <v>295</v>
      </c>
      <c r="G70" s="150">
        <f>44759460+1350000+3541693+6000000</f>
        <v>55651153</v>
      </c>
      <c r="H70" s="214">
        <f>2248307+3541693-2000000-1096668-600000+1696668</f>
        <v>3790000</v>
      </c>
    </row>
    <row r="71" spans="1:8">
      <c r="A71" s="190"/>
      <c r="B71" s="124">
        <v>70007</v>
      </c>
      <c r="C71" s="125"/>
      <c r="D71" s="126" t="s">
        <v>24</v>
      </c>
      <c r="E71" s="126"/>
      <c r="F71" s="126"/>
      <c r="G71" s="126"/>
      <c r="H71" s="196">
        <f>H72</f>
        <v>70000</v>
      </c>
    </row>
    <row r="72" spans="1:8">
      <c r="A72" s="190"/>
      <c r="B72" s="124"/>
      <c r="C72" s="125">
        <v>6050</v>
      </c>
      <c r="D72" s="145" t="s">
        <v>98</v>
      </c>
      <c r="E72" s="172"/>
      <c r="F72" s="172"/>
      <c r="G72" s="178"/>
      <c r="H72" s="219">
        <f>H73</f>
        <v>70000</v>
      </c>
    </row>
    <row r="73" spans="1:8" ht="38.25">
      <c r="A73" s="190"/>
      <c r="B73" s="124"/>
      <c r="C73" s="125"/>
      <c r="D73" s="145" t="s">
        <v>302</v>
      </c>
      <c r="E73" s="167" t="s">
        <v>228</v>
      </c>
      <c r="F73" s="172">
        <v>2024</v>
      </c>
      <c r="G73" s="178">
        <v>70000</v>
      </c>
      <c r="H73" s="219">
        <v>70000</v>
      </c>
    </row>
    <row r="74" spans="1:8">
      <c r="A74" s="190"/>
      <c r="B74" s="124">
        <v>70095</v>
      </c>
      <c r="C74" s="125"/>
      <c r="D74" s="126" t="s">
        <v>8</v>
      </c>
      <c r="E74" s="126"/>
      <c r="F74" s="126"/>
      <c r="G74" s="126"/>
      <c r="H74" s="196">
        <f>H75</f>
        <v>3700000</v>
      </c>
    </row>
    <row r="75" spans="1:8">
      <c r="A75" s="190"/>
      <c r="B75" s="124"/>
      <c r="C75" s="125">
        <v>6050</v>
      </c>
      <c r="D75" s="126" t="s">
        <v>98</v>
      </c>
      <c r="E75" s="134"/>
      <c r="F75" s="134"/>
      <c r="G75" s="134"/>
      <c r="H75" s="215">
        <f>H76</f>
        <v>3700000</v>
      </c>
    </row>
    <row r="76" spans="1:8" ht="14.25" customHeight="1">
      <c r="A76" s="9"/>
      <c r="B76" s="10"/>
      <c r="C76" s="139"/>
      <c r="D76" s="131" t="s">
        <v>261</v>
      </c>
      <c r="E76" s="147" t="s">
        <v>228</v>
      </c>
      <c r="F76" s="147" t="s">
        <v>241</v>
      </c>
      <c r="G76" s="150">
        <f>4500000+500000</f>
        <v>5000000</v>
      </c>
      <c r="H76" s="214">
        <v>3700000</v>
      </c>
    </row>
    <row r="77" spans="1:8">
      <c r="A77" s="190">
        <v>710</v>
      </c>
      <c r="B77" s="124"/>
      <c r="C77" s="125"/>
      <c r="D77" s="126" t="s">
        <v>26</v>
      </c>
      <c r="E77" s="126"/>
      <c r="F77" s="126"/>
      <c r="G77" s="126"/>
      <c r="H77" s="196">
        <f>H78</f>
        <v>390000</v>
      </c>
    </row>
    <row r="78" spans="1:8">
      <c r="A78" s="190"/>
      <c r="B78" s="124">
        <v>71004</v>
      </c>
      <c r="C78" s="125"/>
      <c r="D78" s="126" t="s">
        <v>113</v>
      </c>
      <c r="E78" s="126"/>
      <c r="F78" s="126"/>
      <c r="G78" s="126"/>
      <c r="H78" s="196">
        <f>H79</f>
        <v>390000</v>
      </c>
    </row>
    <row r="79" spans="1:8">
      <c r="A79" s="190"/>
      <c r="B79" s="124"/>
      <c r="C79" s="125">
        <v>6050</v>
      </c>
      <c r="D79" s="126" t="s">
        <v>98</v>
      </c>
      <c r="E79" s="148"/>
      <c r="F79" s="148"/>
      <c r="G79" s="151"/>
      <c r="H79" s="215">
        <f>H80</f>
        <v>390000</v>
      </c>
    </row>
    <row r="80" spans="1:8" ht="24.75" customHeight="1">
      <c r="A80" s="9"/>
      <c r="B80" s="10"/>
      <c r="C80" s="123"/>
      <c r="D80" s="126" t="s">
        <v>263</v>
      </c>
      <c r="E80" s="140" t="s">
        <v>228</v>
      </c>
      <c r="F80" s="140" t="s">
        <v>315</v>
      </c>
      <c r="G80" s="141">
        <f>2026034+190000+100000</f>
        <v>2316034</v>
      </c>
      <c r="H80" s="212">
        <f>200000+190000</f>
        <v>390000</v>
      </c>
    </row>
    <row r="81" spans="1:8">
      <c r="A81" s="190">
        <v>750</v>
      </c>
      <c r="B81" s="124"/>
      <c r="C81" s="125"/>
      <c r="D81" s="126" t="s">
        <v>28</v>
      </c>
      <c r="E81" s="126"/>
      <c r="F81" s="126"/>
      <c r="G81" s="126"/>
      <c r="H81" s="207">
        <f>H82+H87</f>
        <v>1291904</v>
      </c>
    </row>
    <row r="82" spans="1:8">
      <c r="A82" s="190"/>
      <c r="B82" s="124">
        <v>75023</v>
      </c>
      <c r="C82" s="125"/>
      <c r="D82" s="126" t="s">
        <v>30</v>
      </c>
      <c r="E82" s="126"/>
      <c r="F82" s="126"/>
      <c r="G82" s="126"/>
      <c r="H82" s="207">
        <f>H83+H85</f>
        <v>250000</v>
      </c>
    </row>
    <row r="83" spans="1:8">
      <c r="A83" s="190"/>
      <c r="B83" s="124"/>
      <c r="C83" s="125">
        <v>6050</v>
      </c>
      <c r="D83" s="126" t="s">
        <v>98</v>
      </c>
      <c r="E83" s="140"/>
      <c r="F83" s="140"/>
      <c r="G83" s="141"/>
      <c r="H83" s="212">
        <f>H84</f>
        <v>100000</v>
      </c>
    </row>
    <row r="84" spans="1:8" ht="15.75">
      <c r="A84" s="9"/>
      <c r="B84" s="10"/>
      <c r="C84" s="123"/>
      <c r="D84" s="163" t="s">
        <v>303</v>
      </c>
      <c r="E84" s="140" t="s">
        <v>228</v>
      </c>
      <c r="F84" s="140">
        <v>2024</v>
      </c>
      <c r="G84" s="141">
        <v>100000</v>
      </c>
      <c r="H84" s="212">
        <v>100000</v>
      </c>
    </row>
    <row r="85" spans="1:8" ht="23.25" customHeight="1">
      <c r="A85" s="9"/>
      <c r="B85" s="10"/>
      <c r="C85" s="125">
        <v>6060</v>
      </c>
      <c r="D85" s="126" t="s">
        <v>112</v>
      </c>
      <c r="E85" s="140"/>
      <c r="F85" s="140"/>
      <c r="G85" s="141"/>
      <c r="H85" s="212">
        <f>H86</f>
        <v>150000</v>
      </c>
    </row>
    <row r="86" spans="1:8" ht="15.75">
      <c r="A86" s="9"/>
      <c r="B86" s="10"/>
      <c r="C86" s="139"/>
      <c r="D86" s="131" t="s">
        <v>264</v>
      </c>
      <c r="E86" s="142" t="s">
        <v>228</v>
      </c>
      <c r="F86" s="142">
        <v>2024</v>
      </c>
      <c r="G86" s="143">
        <v>150000</v>
      </c>
      <c r="H86" s="210">
        <v>150000</v>
      </c>
    </row>
    <row r="87" spans="1:8">
      <c r="A87" s="190"/>
      <c r="B87" s="124">
        <v>75095</v>
      </c>
      <c r="C87" s="125"/>
      <c r="D87" s="126" t="s">
        <v>8</v>
      </c>
      <c r="E87" s="126"/>
      <c r="F87" s="126"/>
      <c r="G87" s="126"/>
      <c r="H87" s="207">
        <f>H88+H91</f>
        <v>1041904</v>
      </c>
    </row>
    <row r="88" spans="1:8" ht="24.75" customHeight="1">
      <c r="A88" s="9"/>
      <c r="B88" s="10"/>
      <c r="C88" s="125">
        <v>6067</v>
      </c>
      <c r="D88" s="126" t="s">
        <v>112</v>
      </c>
      <c r="E88" s="234"/>
      <c r="F88" s="164"/>
      <c r="G88" s="165"/>
      <c r="H88" s="221">
        <f>H89</f>
        <v>756500</v>
      </c>
    </row>
    <row r="89" spans="1:8" ht="38.25">
      <c r="A89" s="9"/>
      <c r="B89" s="10"/>
      <c r="C89" s="125"/>
      <c r="D89" s="145" t="s">
        <v>304</v>
      </c>
      <c r="E89" s="186" t="s">
        <v>228</v>
      </c>
      <c r="F89" s="169">
        <v>2024</v>
      </c>
      <c r="G89" s="187">
        <v>756500</v>
      </c>
      <c r="H89" s="222">
        <v>756500</v>
      </c>
    </row>
    <row r="90" spans="1:8" ht="26.25" customHeight="1">
      <c r="A90" s="9"/>
      <c r="B90" s="10"/>
      <c r="C90" s="125"/>
      <c r="D90" s="521" t="s">
        <v>447</v>
      </c>
      <c r="E90" s="509" t="s">
        <v>228</v>
      </c>
      <c r="F90" s="509" t="s">
        <v>290</v>
      </c>
      <c r="G90" s="549">
        <v>2438800</v>
      </c>
      <c r="H90" s="550">
        <v>0</v>
      </c>
    </row>
    <row r="91" spans="1:8" ht="24.75" customHeight="1">
      <c r="A91" s="9"/>
      <c r="B91" s="10"/>
      <c r="C91" s="125">
        <v>6069</v>
      </c>
      <c r="D91" s="145" t="s">
        <v>112</v>
      </c>
      <c r="E91" s="235"/>
      <c r="F91" s="188"/>
      <c r="G91" s="187"/>
      <c r="H91" s="222">
        <f>SUM(H92:H93)</f>
        <v>285404</v>
      </c>
    </row>
    <row r="92" spans="1:8" ht="38.25">
      <c r="A92" s="9"/>
      <c r="B92" s="10"/>
      <c r="C92" s="125"/>
      <c r="D92" s="145" t="s">
        <v>312</v>
      </c>
      <c r="E92" s="189" t="s">
        <v>228</v>
      </c>
      <c r="F92" s="169">
        <v>2024</v>
      </c>
      <c r="G92" s="168">
        <v>255404</v>
      </c>
      <c r="H92" s="223">
        <v>255404</v>
      </c>
    </row>
    <row r="93" spans="1:8" ht="26.25" customHeight="1">
      <c r="A93" s="9"/>
      <c r="B93" s="10"/>
      <c r="C93" s="125"/>
      <c r="D93" s="521" t="s">
        <v>447</v>
      </c>
      <c r="E93" s="509" t="s">
        <v>228</v>
      </c>
      <c r="F93" s="509" t="s">
        <v>290</v>
      </c>
      <c r="G93" s="547">
        <v>1045200</v>
      </c>
      <c r="H93" s="548">
        <v>30000</v>
      </c>
    </row>
    <row r="94" spans="1:8" ht="12.75" customHeight="1">
      <c r="A94" s="9"/>
      <c r="B94" s="10"/>
      <c r="C94" s="125"/>
      <c r="D94" s="521"/>
      <c r="E94" s="509"/>
      <c r="F94" s="509"/>
      <c r="G94" s="547"/>
      <c r="H94" s="548"/>
    </row>
    <row r="95" spans="1:8" ht="16.5" customHeight="1">
      <c r="A95" s="190">
        <v>754</v>
      </c>
      <c r="B95" s="124"/>
      <c r="C95" s="125"/>
      <c r="D95" s="126" t="s">
        <v>34</v>
      </c>
      <c r="E95" s="126"/>
      <c r="F95" s="126"/>
      <c r="G95" s="126"/>
      <c r="H95" s="196">
        <f>H99+H102+H105+H96</f>
        <v>1212500</v>
      </c>
    </row>
    <row r="96" spans="1:8" ht="15" customHeight="1">
      <c r="A96" s="190"/>
      <c r="B96" s="124">
        <v>75410</v>
      </c>
      <c r="C96" s="125"/>
      <c r="D96" s="126" t="s">
        <v>459</v>
      </c>
      <c r="E96" s="126"/>
      <c r="F96" s="126"/>
      <c r="G96" s="126"/>
      <c r="H96" s="196">
        <f>H97</f>
        <v>39000</v>
      </c>
    </row>
    <row r="97" spans="1:8" ht="23.25" customHeight="1">
      <c r="A97" s="190"/>
      <c r="B97" s="124"/>
      <c r="C97" s="286">
        <v>6170</v>
      </c>
      <c r="D97" s="500" t="s">
        <v>448</v>
      </c>
      <c r="E97" s="126"/>
      <c r="F97" s="126"/>
      <c r="G97" s="126"/>
      <c r="H97" s="514">
        <f>H98</f>
        <v>39000</v>
      </c>
    </row>
    <row r="98" spans="1:8" ht="26.25" customHeight="1">
      <c r="A98" s="190"/>
      <c r="B98" s="124"/>
      <c r="C98" s="286"/>
      <c r="D98" s="500" t="s">
        <v>436</v>
      </c>
      <c r="E98" s="509" t="s">
        <v>228</v>
      </c>
      <c r="F98" s="510">
        <v>2024</v>
      </c>
      <c r="G98" s="513">
        <v>39000</v>
      </c>
      <c r="H98" s="514">
        <v>39000</v>
      </c>
    </row>
    <row r="99" spans="1:8">
      <c r="A99" s="190"/>
      <c r="B99" s="124">
        <v>75414</v>
      </c>
      <c r="C99" s="125"/>
      <c r="D99" s="126" t="s">
        <v>133</v>
      </c>
      <c r="E99" s="126"/>
      <c r="F99" s="126"/>
      <c r="G99" s="126"/>
      <c r="H99" s="196">
        <f>H100</f>
        <v>20000</v>
      </c>
    </row>
    <row r="100" spans="1:8" ht="24.75" customHeight="1">
      <c r="A100" s="190"/>
      <c r="B100" s="124"/>
      <c r="C100" s="125">
        <v>6060</v>
      </c>
      <c r="D100" s="126" t="s">
        <v>112</v>
      </c>
      <c r="E100" s="164"/>
      <c r="F100" s="164"/>
      <c r="G100" s="165"/>
      <c r="H100" s="224">
        <f>H101</f>
        <v>20000</v>
      </c>
    </row>
    <row r="101" spans="1:8" ht="14.25" customHeight="1">
      <c r="A101" s="9"/>
      <c r="B101" s="10"/>
      <c r="C101" s="123"/>
      <c r="D101" s="131" t="s">
        <v>265</v>
      </c>
      <c r="E101" s="142" t="s">
        <v>228</v>
      </c>
      <c r="F101" s="142">
        <v>2024</v>
      </c>
      <c r="G101" s="143">
        <v>20000</v>
      </c>
      <c r="H101" s="213">
        <v>20000</v>
      </c>
    </row>
    <row r="102" spans="1:8">
      <c r="A102" s="190"/>
      <c r="B102" s="124">
        <v>75416</v>
      </c>
      <c r="C102" s="125"/>
      <c r="D102" s="126" t="s">
        <v>35</v>
      </c>
      <c r="E102" s="126"/>
      <c r="F102" s="126"/>
      <c r="G102" s="126"/>
      <c r="H102" s="196">
        <f>H103</f>
        <v>193500</v>
      </c>
    </row>
    <row r="103" spans="1:8" ht="25.5">
      <c r="A103" s="190"/>
      <c r="B103" s="124"/>
      <c r="C103" s="125">
        <v>6060</v>
      </c>
      <c r="D103" s="126" t="s">
        <v>112</v>
      </c>
      <c r="E103" s="140"/>
      <c r="F103" s="140"/>
      <c r="G103" s="141"/>
      <c r="H103" s="225">
        <f>H104</f>
        <v>193500</v>
      </c>
    </row>
    <row r="104" spans="1:8" ht="13.5" customHeight="1">
      <c r="A104" s="190"/>
      <c r="B104" s="124"/>
      <c r="C104" s="125"/>
      <c r="D104" s="126" t="s">
        <v>297</v>
      </c>
      <c r="E104" s="142" t="s">
        <v>228</v>
      </c>
      <c r="F104" s="142">
        <v>2024</v>
      </c>
      <c r="G104" s="141">
        <f>177000+11000+5500</f>
        <v>193500</v>
      </c>
      <c r="H104" s="225">
        <f>177000+11000+5500</f>
        <v>193500</v>
      </c>
    </row>
    <row r="105" spans="1:8" ht="16.5" customHeight="1">
      <c r="A105" s="190"/>
      <c r="B105" s="124">
        <v>75495</v>
      </c>
      <c r="C105" s="125"/>
      <c r="D105" s="126" t="s">
        <v>8</v>
      </c>
      <c r="E105" s="126"/>
      <c r="F105" s="126"/>
      <c r="G105" s="126"/>
      <c r="H105" s="196">
        <f>H106</f>
        <v>960000</v>
      </c>
    </row>
    <row r="106" spans="1:8">
      <c r="A106" s="190"/>
      <c r="B106" s="124"/>
      <c r="C106" s="125">
        <v>6050</v>
      </c>
      <c r="D106" s="126" t="s">
        <v>98</v>
      </c>
      <c r="E106" s="140"/>
      <c r="F106" s="140"/>
      <c r="G106" s="141"/>
      <c r="H106" s="225">
        <f>SUM(H107:H108)</f>
        <v>960000</v>
      </c>
    </row>
    <row r="107" spans="1:8" ht="15.75">
      <c r="A107" s="9"/>
      <c r="B107" s="10"/>
      <c r="C107" s="123"/>
      <c r="D107" s="500" t="s">
        <v>266</v>
      </c>
      <c r="E107" s="511" t="s">
        <v>228</v>
      </c>
      <c r="F107" s="511" t="s">
        <v>267</v>
      </c>
      <c r="G107" s="502">
        <v>5000000</v>
      </c>
      <c r="H107" s="512">
        <f>610000+150000</f>
        <v>760000</v>
      </c>
    </row>
    <row r="108" spans="1:8" ht="25.5">
      <c r="A108" s="9"/>
      <c r="B108" s="10"/>
      <c r="C108" s="123"/>
      <c r="D108" s="500" t="s">
        <v>441</v>
      </c>
      <c r="E108" s="511" t="s">
        <v>228</v>
      </c>
      <c r="F108" s="511" t="s">
        <v>444</v>
      </c>
      <c r="G108" s="502">
        <v>6000000</v>
      </c>
      <c r="H108" s="512">
        <v>200000</v>
      </c>
    </row>
    <row r="109" spans="1:8">
      <c r="A109" s="190">
        <v>801</v>
      </c>
      <c r="B109" s="124"/>
      <c r="C109" s="125"/>
      <c r="D109" s="126" t="s">
        <v>58</v>
      </c>
      <c r="E109" s="126"/>
      <c r="F109" s="126"/>
      <c r="G109" s="126"/>
      <c r="H109" s="196">
        <f>H110+H128+H132</f>
        <v>9926400</v>
      </c>
    </row>
    <row r="110" spans="1:8">
      <c r="A110" s="190"/>
      <c r="B110" s="124">
        <v>80101</v>
      </c>
      <c r="C110" s="125"/>
      <c r="D110" s="126" t="s">
        <v>59</v>
      </c>
      <c r="E110" s="126"/>
      <c r="F110" s="126"/>
      <c r="G110" s="126"/>
      <c r="H110" s="196">
        <f>H111+H118+H123+H126</f>
        <v>9472000</v>
      </c>
    </row>
    <row r="111" spans="1:8" ht="15.75" customHeight="1">
      <c r="A111" s="190"/>
      <c r="B111" s="124"/>
      <c r="C111" s="125">
        <v>6050</v>
      </c>
      <c r="D111" s="126" t="s">
        <v>98</v>
      </c>
      <c r="E111" s="236"/>
      <c r="F111" s="140"/>
      <c r="G111" s="141"/>
      <c r="H111" s="225">
        <f>SUM(H112:H117)</f>
        <v>5550000</v>
      </c>
    </row>
    <row r="112" spans="1:8" ht="25.5" customHeight="1">
      <c r="A112" s="9"/>
      <c r="B112" s="137"/>
      <c r="C112" s="138"/>
      <c r="D112" s="162" t="s">
        <v>270</v>
      </c>
      <c r="E112" s="147" t="s">
        <v>228</v>
      </c>
      <c r="F112" s="142" t="s">
        <v>235</v>
      </c>
      <c r="G112" s="143">
        <f>19000000+2500000+550000</f>
        <v>22050000</v>
      </c>
      <c r="H112" s="213">
        <f>2050000+550000</f>
        <v>2600000</v>
      </c>
    </row>
    <row r="113" spans="1:8" ht="25.5">
      <c r="A113" s="9"/>
      <c r="B113" s="10"/>
      <c r="C113" s="138"/>
      <c r="D113" s="531" t="s">
        <v>272</v>
      </c>
      <c r="E113" s="505" t="s">
        <v>228</v>
      </c>
      <c r="F113" s="532" t="s">
        <v>229</v>
      </c>
      <c r="G113" s="529">
        <f>500000-249000</f>
        <v>251000</v>
      </c>
      <c r="H113" s="530">
        <f>499000-249000</f>
        <v>250000</v>
      </c>
    </row>
    <row r="114" spans="1:8" ht="25.5">
      <c r="A114" s="9"/>
      <c r="B114" s="10"/>
      <c r="C114" s="11"/>
      <c r="D114" s="166" t="s">
        <v>296</v>
      </c>
      <c r="E114" s="147" t="s">
        <v>228</v>
      </c>
      <c r="F114" s="147">
        <v>2024</v>
      </c>
      <c r="G114" s="143">
        <v>1200000</v>
      </c>
      <c r="H114" s="213">
        <v>1200000</v>
      </c>
    </row>
    <row r="115" spans="1:8" ht="15.75">
      <c r="A115" s="9"/>
      <c r="B115" s="10"/>
      <c r="C115" s="11"/>
      <c r="D115" s="506" t="s">
        <v>271</v>
      </c>
      <c r="E115" s="505" t="s">
        <v>228</v>
      </c>
      <c r="F115" s="510" t="s">
        <v>239</v>
      </c>
      <c r="G115" s="529">
        <f>25050000-200000+1100000-5000+200000-180000</f>
        <v>25965000</v>
      </c>
      <c r="H115" s="530">
        <f>1300000-1000000-180000</f>
        <v>120000</v>
      </c>
    </row>
    <row r="116" spans="1:8" ht="24" customHeight="1">
      <c r="A116" s="9"/>
      <c r="B116" s="10"/>
      <c r="C116" s="11"/>
      <c r="D116" s="506" t="s">
        <v>440</v>
      </c>
      <c r="E116" s="505" t="s">
        <v>228</v>
      </c>
      <c r="F116" s="510" t="s">
        <v>290</v>
      </c>
      <c r="G116" s="529">
        <v>2000000</v>
      </c>
      <c r="H116" s="530">
        <v>200000</v>
      </c>
    </row>
    <row r="117" spans="1:8" ht="15.75">
      <c r="A117" s="9"/>
      <c r="B117" s="10"/>
      <c r="C117" s="138"/>
      <c r="D117" s="131" t="s">
        <v>268</v>
      </c>
      <c r="E117" s="505" t="s">
        <v>228</v>
      </c>
      <c r="F117" s="170" t="s">
        <v>269</v>
      </c>
      <c r="G117" s="171">
        <f>43850000+1400000</f>
        <v>45250000</v>
      </c>
      <c r="H117" s="226">
        <f>3100000-2000000+80000</f>
        <v>1180000</v>
      </c>
    </row>
    <row r="118" spans="1:8" ht="25.5">
      <c r="A118" s="9"/>
      <c r="B118" s="10"/>
      <c r="C118" s="125">
        <v>6060</v>
      </c>
      <c r="D118" s="126" t="s">
        <v>112</v>
      </c>
      <c r="E118" s="147"/>
      <c r="F118" s="147"/>
      <c r="G118" s="143"/>
      <c r="H118" s="213">
        <f>SUM(H119:H122)</f>
        <v>122000</v>
      </c>
    </row>
    <row r="119" spans="1:8" ht="38.25">
      <c r="A119" s="9"/>
      <c r="B119" s="10"/>
      <c r="C119" s="138"/>
      <c r="D119" s="134" t="s">
        <v>316</v>
      </c>
      <c r="E119" s="148" t="s">
        <v>228</v>
      </c>
      <c r="F119" s="148">
        <v>2024</v>
      </c>
      <c r="G119" s="158">
        <v>50000</v>
      </c>
      <c r="H119" s="225">
        <v>50000</v>
      </c>
    </row>
    <row r="120" spans="1:8" ht="25.5">
      <c r="A120" s="9"/>
      <c r="B120" s="10"/>
      <c r="C120" s="138"/>
      <c r="D120" s="134" t="s">
        <v>311</v>
      </c>
      <c r="E120" s="148" t="s">
        <v>228</v>
      </c>
      <c r="F120" s="148">
        <v>2024</v>
      </c>
      <c r="G120" s="158">
        <v>30000</v>
      </c>
      <c r="H120" s="225">
        <v>30000</v>
      </c>
    </row>
    <row r="121" spans="1:8" ht="25.5">
      <c r="A121" s="9"/>
      <c r="B121" s="10"/>
      <c r="C121" s="138"/>
      <c r="D121" s="181" t="s">
        <v>273</v>
      </c>
      <c r="E121" s="147" t="s">
        <v>228</v>
      </c>
      <c r="F121" s="146">
        <v>2024</v>
      </c>
      <c r="G121" s="159">
        <v>30000</v>
      </c>
      <c r="H121" s="224">
        <v>30000</v>
      </c>
    </row>
    <row r="122" spans="1:8" ht="25.5">
      <c r="A122" s="9"/>
      <c r="B122" s="10"/>
      <c r="C122" s="11"/>
      <c r="D122" s="181" t="s">
        <v>364</v>
      </c>
      <c r="E122" s="147" t="s">
        <v>228</v>
      </c>
      <c r="F122" s="146">
        <v>2024</v>
      </c>
      <c r="G122" s="159">
        <v>12000</v>
      </c>
      <c r="H122" s="224">
        <v>12000</v>
      </c>
    </row>
    <row r="123" spans="1:8" ht="38.25">
      <c r="A123" s="9"/>
      <c r="B123" s="10"/>
      <c r="C123" s="125">
        <v>6370</v>
      </c>
      <c r="D123" s="126" t="s">
        <v>218</v>
      </c>
      <c r="E123" s="152"/>
      <c r="F123" s="146"/>
      <c r="G123" s="159"/>
      <c r="H123" s="224">
        <f>SUM(H124:H125)</f>
        <v>3000000</v>
      </c>
    </row>
    <row r="124" spans="1:8" ht="15.75">
      <c r="A124" s="9"/>
      <c r="B124" s="10"/>
      <c r="C124" s="138"/>
      <c r="D124" s="131" t="s">
        <v>271</v>
      </c>
      <c r="E124" s="147" t="s">
        <v>228</v>
      </c>
      <c r="F124" s="147"/>
      <c r="G124" s="158"/>
      <c r="H124" s="213">
        <v>1000000</v>
      </c>
    </row>
    <row r="125" spans="1:8" ht="15.75">
      <c r="A125" s="9"/>
      <c r="B125" s="10"/>
      <c r="C125" s="11"/>
      <c r="D125" s="131" t="s">
        <v>268</v>
      </c>
      <c r="E125" s="147" t="s">
        <v>228</v>
      </c>
      <c r="F125" s="148"/>
      <c r="G125" s="237"/>
      <c r="H125" s="225">
        <v>2000000</v>
      </c>
    </row>
    <row r="126" spans="1:8" ht="38.25">
      <c r="A126" s="9"/>
      <c r="B126" s="10"/>
      <c r="C126" s="125">
        <v>6580</v>
      </c>
      <c r="D126" s="126" t="s">
        <v>325</v>
      </c>
      <c r="E126" s="148"/>
      <c r="F126" s="148"/>
      <c r="G126" s="237"/>
      <c r="H126" s="225">
        <f>H127</f>
        <v>800000</v>
      </c>
    </row>
    <row r="127" spans="1:8" ht="15.75">
      <c r="A127" s="9"/>
      <c r="B127" s="10"/>
      <c r="C127" s="11"/>
      <c r="D127" s="238" t="s">
        <v>305</v>
      </c>
      <c r="E127" s="172" t="s">
        <v>228</v>
      </c>
      <c r="F127" s="186" t="s">
        <v>290</v>
      </c>
      <c r="G127" s="237">
        <v>1500000</v>
      </c>
      <c r="H127" s="225">
        <f>800000</f>
        <v>800000</v>
      </c>
    </row>
    <row r="128" spans="1:8">
      <c r="A128" s="190"/>
      <c r="B128" s="124">
        <v>80104</v>
      </c>
      <c r="C128" s="125"/>
      <c r="D128" s="126" t="s">
        <v>62</v>
      </c>
      <c r="E128" s="126"/>
      <c r="F128" s="126"/>
      <c r="G128" s="126"/>
      <c r="H128" s="196">
        <f>H129</f>
        <v>360000</v>
      </c>
    </row>
    <row r="129" spans="1:8" ht="15.75">
      <c r="A129" s="9"/>
      <c r="B129" s="10"/>
      <c r="C129" s="286">
        <v>6050</v>
      </c>
      <c r="D129" s="500" t="s">
        <v>98</v>
      </c>
      <c r="E129" s="172"/>
      <c r="F129" s="186"/>
      <c r="G129" s="237"/>
      <c r="H129" s="225">
        <f>H130+H131</f>
        <v>360000</v>
      </c>
    </row>
    <row r="130" spans="1:8" ht="25.5">
      <c r="A130" s="9"/>
      <c r="B130" s="10"/>
      <c r="C130" s="64"/>
      <c r="D130" s="528" t="s">
        <v>439</v>
      </c>
      <c r="E130" s="505" t="s">
        <v>228</v>
      </c>
      <c r="F130" s="515">
        <v>2024</v>
      </c>
      <c r="G130" s="527">
        <v>260000</v>
      </c>
      <c r="H130" s="512">
        <v>260000</v>
      </c>
    </row>
    <row r="131" spans="1:8" ht="25.5">
      <c r="A131" s="9"/>
      <c r="B131" s="10"/>
      <c r="C131" s="11"/>
      <c r="D131" s="528" t="s">
        <v>449</v>
      </c>
      <c r="E131" s="505" t="s">
        <v>228</v>
      </c>
      <c r="F131" s="505">
        <v>2024</v>
      </c>
      <c r="G131" s="527">
        <v>100000</v>
      </c>
      <c r="H131" s="512">
        <v>100000</v>
      </c>
    </row>
    <row r="132" spans="1:8">
      <c r="A132" s="190"/>
      <c r="B132" s="124">
        <v>80195</v>
      </c>
      <c r="C132" s="125"/>
      <c r="D132" s="126" t="s">
        <v>8</v>
      </c>
      <c r="E132" s="126"/>
      <c r="F132" s="126"/>
      <c r="G132" s="126"/>
      <c r="H132" s="196">
        <f>H134</f>
        <v>94400</v>
      </c>
    </row>
    <row r="133" spans="1:8">
      <c r="A133" s="190"/>
      <c r="B133" s="124"/>
      <c r="C133" s="274">
        <v>6057</v>
      </c>
      <c r="D133" s="275" t="s">
        <v>98</v>
      </c>
      <c r="E133" s="134"/>
      <c r="F133" s="515"/>
      <c r="G133" s="126"/>
      <c r="H133" s="215"/>
    </row>
    <row r="134" spans="1:8" ht="51">
      <c r="A134" s="9"/>
      <c r="B134" s="10"/>
      <c r="C134" s="11"/>
      <c r="D134" s="528" t="s">
        <v>446</v>
      </c>
      <c r="E134" s="505" t="s">
        <v>228</v>
      </c>
      <c r="F134" s="505" t="s">
        <v>444</v>
      </c>
      <c r="G134" s="527">
        <v>94400</v>
      </c>
      <c r="H134" s="512">
        <v>94400</v>
      </c>
    </row>
    <row r="135" spans="1:8">
      <c r="A135" s="190">
        <v>900</v>
      </c>
      <c r="B135" s="124"/>
      <c r="C135" s="125"/>
      <c r="D135" s="126" t="s">
        <v>84</v>
      </c>
      <c r="E135" s="126"/>
      <c r="F135" s="126"/>
      <c r="G135" s="126"/>
      <c r="H135" s="196">
        <f>H136+H139+H142</f>
        <v>2799680</v>
      </c>
    </row>
    <row r="136" spans="1:8">
      <c r="A136" s="190"/>
      <c r="B136" s="124">
        <v>90001</v>
      </c>
      <c r="C136" s="125"/>
      <c r="D136" s="126" t="s">
        <v>85</v>
      </c>
      <c r="E136" s="130"/>
      <c r="F136" s="130"/>
      <c r="G136" s="126"/>
      <c r="H136" s="196">
        <f>H137</f>
        <v>180000</v>
      </c>
    </row>
    <row r="137" spans="1:8" ht="51">
      <c r="A137" s="190"/>
      <c r="B137" s="124"/>
      <c r="C137" s="125">
        <v>6230</v>
      </c>
      <c r="D137" s="126" t="s">
        <v>168</v>
      </c>
      <c r="E137" s="126"/>
      <c r="F137" s="126"/>
      <c r="G137" s="126"/>
      <c r="H137" s="196">
        <f>H138</f>
        <v>180000</v>
      </c>
    </row>
    <row r="138" spans="1:8" ht="25.5">
      <c r="A138" s="190"/>
      <c r="B138" s="124"/>
      <c r="C138" s="125"/>
      <c r="D138" s="131" t="s">
        <v>276</v>
      </c>
      <c r="E138" s="147" t="s">
        <v>228</v>
      </c>
      <c r="F138" s="147">
        <v>2024</v>
      </c>
      <c r="G138" s="155">
        <v>180000</v>
      </c>
      <c r="H138" s="214">
        <v>180000</v>
      </c>
    </row>
    <row r="139" spans="1:8">
      <c r="A139" s="190"/>
      <c r="B139" s="124">
        <v>90005</v>
      </c>
      <c r="C139" s="125"/>
      <c r="D139" s="126" t="s">
        <v>87</v>
      </c>
      <c r="E139" s="126"/>
      <c r="F139" s="126"/>
      <c r="G139" s="126"/>
      <c r="H139" s="196">
        <f>H140</f>
        <v>276000</v>
      </c>
    </row>
    <row r="140" spans="1:8" ht="51">
      <c r="A140" s="190"/>
      <c r="B140" s="124"/>
      <c r="C140" s="125">
        <v>6230</v>
      </c>
      <c r="D140" s="126" t="s">
        <v>168</v>
      </c>
      <c r="E140" s="147"/>
      <c r="F140" s="147"/>
      <c r="G140" s="158"/>
      <c r="H140" s="213">
        <f>SUM(H141:H141)</f>
        <v>276000</v>
      </c>
    </row>
    <row r="141" spans="1:8" ht="26.25" customHeight="1">
      <c r="A141" s="9"/>
      <c r="B141" s="10"/>
      <c r="C141" s="11"/>
      <c r="D141" s="506" t="s">
        <v>275</v>
      </c>
      <c r="E141" s="515" t="s">
        <v>228</v>
      </c>
      <c r="F141" s="515">
        <v>2024</v>
      </c>
      <c r="G141" s="516">
        <f>220000+56000</f>
        <v>276000</v>
      </c>
      <c r="H141" s="517">
        <f>220000+56000</f>
        <v>276000</v>
      </c>
    </row>
    <row r="142" spans="1:8" ht="15.75">
      <c r="A142" s="9"/>
      <c r="B142" s="124">
        <v>90015</v>
      </c>
      <c r="C142" s="125"/>
      <c r="D142" s="126" t="s">
        <v>172</v>
      </c>
      <c r="E142" s="131"/>
      <c r="F142" s="131"/>
      <c r="G142" s="131"/>
      <c r="H142" s="195">
        <f>H143+H146</f>
        <v>2343680</v>
      </c>
    </row>
    <row r="143" spans="1:8" ht="15.75">
      <c r="A143" s="9"/>
      <c r="B143" s="124"/>
      <c r="C143" s="125">
        <v>6050</v>
      </c>
      <c r="D143" s="126" t="s">
        <v>98</v>
      </c>
      <c r="E143" s="149"/>
      <c r="F143" s="147"/>
      <c r="G143" s="158"/>
      <c r="H143" s="213">
        <f>H144+H145</f>
        <v>1000000</v>
      </c>
    </row>
    <row r="144" spans="1:8" ht="25.5">
      <c r="A144" s="9"/>
      <c r="B144" s="124"/>
      <c r="C144" s="125"/>
      <c r="D144" s="500" t="s">
        <v>274</v>
      </c>
      <c r="E144" s="501" t="s">
        <v>228</v>
      </c>
      <c r="F144" s="505">
        <v>2024</v>
      </c>
      <c r="G144" s="518">
        <f>1000000-335920</f>
        <v>664080</v>
      </c>
      <c r="H144" s="519">
        <f>1000000-335920</f>
        <v>664080</v>
      </c>
    </row>
    <row r="145" spans="1:8" ht="25.5">
      <c r="A145" s="9"/>
      <c r="B145" s="124"/>
      <c r="C145" s="125"/>
      <c r="D145" s="500" t="s">
        <v>437</v>
      </c>
      <c r="E145" s="501" t="s">
        <v>228</v>
      </c>
      <c r="F145" s="505">
        <v>2024</v>
      </c>
      <c r="G145" s="518">
        <v>335920</v>
      </c>
      <c r="H145" s="519">
        <v>335920</v>
      </c>
    </row>
    <row r="146" spans="1:8" ht="38.25">
      <c r="A146" s="9"/>
      <c r="B146" s="124"/>
      <c r="C146" s="520">
        <v>6370</v>
      </c>
      <c r="D146" s="521" t="s">
        <v>218</v>
      </c>
      <c r="E146" s="501"/>
      <c r="F146" s="505"/>
      <c r="G146" s="518"/>
      <c r="H146" s="519">
        <f>H147</f>
        <v>1343680</v>
      </c>
    </row>
    <row r="147" spans="1:8" ht="24.75" customHeight="1">
      <c r="A147" s="9"/>
      <c r="B147" s="10"/>
      <c r="C147" s="64"/>
      <c r="D147" s="500" t="s">
        <v>274</v>
      </c>
      <c r="E147" s="501" t="s">
        <v>228</v>
      </c>
      <c r="F147" s="505">
        <v>2024</v>
      </c>
      <c r="G147" s="518">
        <v>1343680</v>
      </c>
      <c r="H147" s="519">
        <v>1343680</v>
      </c>
    </row>
    <row r="148" spans="1:8">
      <c r="A148" s="190">
        <v>921</v>
      </c>
      <c r="B148" s="124"/>
      <c r="C148" s="125"/>
      <c r="D148" s="126" t="s">
        <v>175</v>
      </c>
      <c r="E148" s="126"/>
      <c r="F148" s="126"/>
      <c r="G148" s="126"/>
      <c r="H148" s="196">
        <f>H149+H154</f>
        <v>5760000.6500000004</v>
      </c>
    </row>
    <row r="149" spans="1:8" ht="18.75" customHeight="1">
      <c r="A149" s="190"/>
      <c r="B149" s="124">
        <v>92109</v>
      </c>
      <c r="C149" s="125"/>
      <c r="D149" s="126" t="s">
        <v>177</v>
      </c>
      <c r="E149" s="126"/>
      <c r="F149" s="126"/>
      <c r="G149" s="126"/>
      <c r="H149" s="196">
        <f>H150+H152</f>
        <v>1700000.65</v>
      </c>
    </row>
    <row r="150" spans="1:8">
      <c r="A150" s="190"/>
      <c r="B150" s="124"/>
      <c r="C150" s="125">
        <v>6050</v>
      </c>
      <c r="D150" s="126" t="s">
        <v>98</v>
      </c>
      <c r="E150" s="239"/>
      <c r="F150" s="148"/>
      <c r="G150" s="161"/>
      <c r="H150" s="215">
        <f>H151</f>
        <v>700000</v>
      </c>
    </row>
    <row r="151" spans="1:8" ht="14.25" customHeight="1">
      <c r="A151" s="9"/>
      <c r="B151" s="10"/>
      <c r="C151" s="11"/>
      <c r="D151" s="500" t="s">
        <v>277</v>
      </c>
      <c r="E151" s="501" t="s">
        <v>228</v>
      </c>
      <c r="F151" s="533" t="s">
        <v>235</v>
      </c>
      <c r="G151" s="534">
        <f>3445000+1050000+200000-130000</f>
        <v>4565000</v>
      </c>
      <c r="H151" s="523">
        <f>200000+630000-130000</f>
        <v>700000</v>
      </c>
    </row>
    <row r="152" spans="1:8" ht="38.25">
      <c r="A152" s="9"/>
      <c r="B152" s="10"/>
      <c r="C152" s="144">
        <v>6370</v>
      </c>
      <c r="D152" s="145" t="s">
        <v>218</v>
      </c>
      <c r="E152" s="148"/>
      <c r="F152" s="172"/>
      <c r="G152" s="173"/>
      <c r="H152" s="215">
        <f>H153</f>
        <v>1000000.65</v>
      </c>
    </row>
    <row r="153" spans="1:8" ht="15.75" customHeight="1">
      <c r="A153" s="9"/>
      <c r="B153" s="10"/>
      <c r="C153" s="144"/>
      <c r="D153" s="126" t="s">
        <v>277</v>
      </c>
      <c r="E153" s="148" t="s">
        <v>228</v>
      </c>
      <c r="F153" s="172"/>
      <c r="G153" s="173"/>
      <c r="H153" s="215">
        <f>1000000+0.65</f>
        <v>1000000.65</v>
      </c>
    </row>
    <row r="154" spans="1:8">
      <c r="A154" s="190"/>
      <c r="B154" s="124">
        <v>92120</v>
      </c>
      <c r="C154" s="125"/>
      <c r="D154" s="126" t="s">
        <v>180</v>
      </c>
      <c r="E154" s="126"/>
      <c r="F154" s="126"/>
      <c r="G154" s="126"/>
      <c r="H154" s="196">
        <f>H155+H158+H160</f>
        <v>4060000</v>
      </c>
    </row>
    <row r="155" spans="1:8">
      <c r="A155" s="190"/>
      <c r="B155" s="124"/>
      <c r="C155" s="125">
        <v>6050</v>
      </c>
      <c r="D155" s="126" t="s">
        <v>98</v>
      </c>
      <c r="E155" s="152"/>
      <c r="F155" s="152"/>
      <c r="G155" s="157"/>
      <c r="H155" s="218">
        <f>H156+H157</f>
        <v>200000</v>
      </c>
    </row>
    <row r="156" spans="1:8" ht="25.5">
      <c r="A156" s="9"/>
      <c r="B156" s="10"/>
      <c r="C156" s="138"/>
      <c r="D156" s="131" t="s">
        <v>278</v>
      </c>
      <c r="E156" s="147" t="s">
        <v>228</v>
      </c>
      <c r="F156" s="174" t="s">
        <v>309</v>
      </c>
      <c r="G156" s="175">
        <f>1031000+7000000</f>
        <v>8031000</v>
      </c>
      <c r="H156" s="216">
        <v>100000</v>
      </c>
    </row>
    <row r="157" spans="1:8" ht="15.75">
      <c r="A157" s="9"/>
      <c r="B157" s="10"/>
      <c r="C157" s="11"/>
      <c r="D157" s="500" t="s">
        <v>445</v>
      </c>
      <c r="E157" s="505" t="s">
        <v>228</v>
      </c>
      <c r="F157" s="545" t="s">
        <v>443</v>
      </c>
      <c r="G157" s="546">
        <v>2000000</v>
      </c>
      <c r="H157" s="517">
        <v>100000</v>
      </c>
    </row>
    <row r="158" spans="1:8" ht="38.25">
      <c r="A158" s="9"/>
      <c r="B158" s="10"/>
      <c r="C158" s="144">
        <v>6370</v>
      </c>
      <c r="D158" s="145" t="s">
        <v>218</v>
      </c>
      <c r="E158" s="152"/>
      <c r="F158" s="146"/>
      <c r="G158" s="160"/>
      <c r="H158" s="194">
        <f>H159</f>
        <v>3000000</v>
      </c>
    </row>
    <row r="159" spans="1:8" ht="25.5">
      <c r="A159" s="9"/>
      <c r="B159" s="10"/>
      <c r="C159" s="138"/>
      <c r="D159" s="131" t="s">
        <v>278</v>
      </c>
      <c r="E159" s="147" t="s">
        <v>228</v>
      </c>
      <c r="F159" s="146" t="s">
        <v>309</v>
      </c>
      <c r="G159" s="160"/>
      <c r="H159" s="194">
        <v>3000000</v>
      </c>
    </row>
    <row r="160" spans="1:8" ht="51">
      <c r="A160" s="9"/>
      <c r="B160" s="10"/>
      <c r="C160" s="144">
        <v>6570</v>
      </c>
      <c r="D160" s="145" t="s">
        <v>221</v>
      </c>
      <c r="E160" s="146"/>
      <c r="F160" s="146"/>
      <c r="G160" s="160"/>
      <c r="H160" s="194">
        <f>SUM(H161:H162)</f>
        <v>860000</v>
      </c>
    </row>
    <row r="161" spans="1:8" ht="25.5">
      <c r="A161" s="9"/>
      <c r="B161" s="10"/>
      <c r="C161" s="138"/>
      <c r="D161" s="128" t="s">
        <v>306</v>
      </c>
      <c r="E161" s="147" t="s">
        <v>228</v>
      </c>
      <c r="F161" s="146">
        <v>2024</v>
      </c>
      <c r="G161" s="160">
        <v>352800</v>
      </c>
      <c r="H161" s="194">
        <f>352800+7200</f>
        <v>360000</v>
      </c>
    </row>
    <row r="162" spans="1:8" ht="25.5">
      <c r="A162" s="9"/>
      <c r="B162" s="137"/>
      <c r="C162" s="138"/>
      <c r="D162" s="131" t="s">
        <v>307</v>
      </c>
      <c r="E162" s="147" t="s">
        <v>228</v>
      </c>
      <c r="F162" s="147">
        <v>2024</v>
      </c>
      <c r="G162" s="155">
        <v>490000</v>
      </c>
      <c r="H162" s="195">
        <f>490000+10000</f>
        <v>500000</v>
      </c>
    </row>
    <row r="163" spans="1:8">
      <c r="A163" s="206">
        <v>926</v>
      </c>
      <c r="B163" s="124"/>
      <c r="C163" s="125"/>
      <c r="D163" s="126" t="s">
        <v>89</v>
      </c>
      <c r="E163" s="126"/>
      <c r="F163" s="126"/>
      <c r="G163" s="126"/>
      <c r="H163" s="196">
        <f>H164+H175+H178</f>
        <v>3424000</v>
      </c>
    </row>
    <row r="164" spans="1:8">
      <c r="A164" s="190"/>
      <c r="B164" s="124">
        <v>92601</v>
      </c>
      <c r="C164" s="125"/>
      <c r="D164" s="126" t="s">
        <v>181</v>
      </c>
      <c r="E164" s="126"/>
      <c r="F164" s="126"/>
      <c r="G164" s="126"/>
      <c r="H164" s="196">
        <f>H165</f>
        <v>1770000</v>
      </c>
    </row>
    <row r="165" spans="1:8">
      <c r="A165" s="190"/>
      <c r="B165" s="124"/>
      <c r="C165" s="125">
        <v>6050</v>
      </c>
      <c r="D165" s="131" t="s">
        <v>98</v>
      </c>
      <c r="E165" s="149"/>
      <c r="F165" s="147"/>
      <c r="G165" s="155"/>
      <c r="H165" s="195">
        <f>SUM(H166:H174)</f>
        <v>1770000</v>
      </c>
    </row>
    <row r="166" spans="1:8" ht="19.5" customHeight="1">
      <c r="A166" s="9"/>
      <c r="B166" s="10"/>
      <c r="C166" s="138"/>
      <c r="D166" s="126" t="s">
        <v>279</v>
      </c>
      <c r="E166" s="148" t="s">
        <v>228</v>
      </c>
      <c r="F166" s="148" t="s">
        <v>262</v>
      </c>
      <c r="G166" s="161">
        <f>550000+150000</f>
        <v>700000</v>
      </c>
      <c r="H166" s="196">
        <f>400000-250000+250000</f>
        <v>400000</v>
      </c>
    </row>
    <row r="167" spans="1:8" ht="25.5">
      <c r="A167" s="9"/>
      <c r="B167" s="10"/>
      <c r="C167" s="138"/>
      <c r="D167" s="240" t="s">
        <v>298</v>
      </c>
      <c r="E167" s="148" t="s">
        <v>228</v>
      </c>
      <c r="F167" s="148">
        <v>2024</v>
      </c>
      <c r="G167" s="161">
        <v>170000</v>
      </c>
      <c r="H167" s="196">
        <v>170000</v>
      </c>
    </row>
    <row r="168" spans="1:8" ht="13.5" customHeight="1">
      <c r="A168" s="9"/>
      <c r="B168" s="10"/>
      <c r="C168" s="138"/>
      <c r="D168" s="240" t="s">
        <v>319</v>
      </c>
      <c r="E168" s="148" t="s">
        <v>228</v>
      </c>
      <c r="F168" s="148">
        <v>2024</v>
      </c>
      <c r="G168" s="161">
        <v>250000</v>
      </c>
      <c r="H168" s="196">
        <v>250000</v>
      </c>
    </row>
    <row r="169" spans="1:8" ht="25.5">
      <c r="A169" s="193"/>
      <c r="B169" s="137"/>
      <c r="C169" s="138"/>
      <c r="D169" s="541" t="s">
        <v>300</v>
      </c>
      <c r="E169" s="505" t="s">
        <v>228</v>
      </c>
      <c r="F169" s="505" t="s">
        <v>443</v>
      </c>
      <c r="G169" s="536">
        <f>500000-300000+8000000</f>
        <v>8200000</v>
      </c>
      <c r="H169" s="542">
        <f>500000-300000</f>
        <v>200000</v>
      </c>
    </row>
    <row r="170" spans="1:8" ht="25.5">
      <c r="A170" s="9"/>
      <c r="B170" s="10"/>
      <c r="C170" s="139"/>
      <c r="D170" s="240" t="s">
        <v>310</v>
      </c>
      <c r="E170" s="147" t="s">
        <v>228</v>
      </c>
      <c r="F170" s="149">
        <v>2024</v>
      </c>
      <c r="G170" s="161">
        <v>50000</v>
      </c>
      <c r="H170" s="196">
        <v>50000</v>
      </c>
    </row>
    <row r="171" spans="1:8" ht="15.75">
      <c r="A171" s="9"/>
      <c r="B171" s="10"/>
      <c r="C171" s="138"/>
      <c r="D171" s="241" t="s">
        <v>301</v>
      </c>
      <c r="E171" s="167" t="s">
        <v>228</v>
      </c>
      <c r="F171" s="185" t="s">
        <v>290</v>
      </c>
      <c r="G171" s="173">
        <v>3000000</v>
      </c>
      <c r="H171" s="197">
        <v>150000</v>
      </c>
    </row>
    <row r="172" spans="1:8" ht="19.5" customHeight="1">
      <c r="A172" s="9"/>
      <c r="B172" s="10"/>
      <c r="C172" s="11"/>
      <c r="D172" s="134" t="s">
        <v>299</v>
      </c>
      <c r="E172" s="167" t="s">
        <v>228</v>
      </c>
      <c r="F172" s="185">
        <v>2024</v>
      </c>
      <c r="G172" s="155">
        <v>200000</v>
      </c>
      <c r="H172" s="195">
        <v>200000</v>
      </c>
    </row>
    <row r="173" spans="1:8" ht="22.5" customHeight="1">
      <c r="A173" s="9"/>
      <c r="B173" s="10"/>
      <c r="C173" s="11"/>
      <c r="D173" s="543" t="s">
        <v>442</v>
      </c>
      <c r="E173" s="532" t="s">
        <v>228</v>
      </c>
      <c r="F173" s="544">
        <v>2024</v>
      </c>
      <c r="G173" s="536">
        <v>300000</v>
      </c>
      <c r="H173" s="537">
        <v>300000</v>
      </c>
    </row>
    <row r="174" spans="1:8" ht="18.75" customHeight="1">
      <c r="A174" s="9"/>
      <c r="B174" s="10"/>
      <c r="C174" s="138"/>
      <c r="D174" s="535" t="s">
        <v>281</v>
      </c>
      <c r="E174" s="505" t="s">
        <v>228</v>
      </c>
      <c r="F174" s="505" t="s">
        <v>282</v>
      </c>
      <c r="G174" s="536">
        <v>8000000</v>
      </c>
      <c r="H174" s="537">
        <f>1000+49000</f>
        <v>50000</v>
      </c>
    </row>
    <row r="175" spans="1:8">
      <c r="A175" s="190"/>
      <c r="B175" s="124">
        <v>92604</v>
      </c>
      <c r="C175" s="125"/>
      <c r="D175" s="126" t="s">
        <v>90</v>
      </c>
      <c r="E175" s="134"/>
      <c r="F175" s="126"/>
      <c r="G175" s="126"/>
      <c r="H175" s="196">
        <f>H176</f>
        <v>829000</v>
      </c>
    </row>
    <row r="176" spans="1:8">
      <c r="A176" s="190"/>
      <c r="B176" s="124"/>
      <c r="C176" s="125">
        <v>6050</v>
      </c>
      <c r="D176" s="126" t="s">
        <v>98</v>
      </c>
      <c r="E176" s="148"/>
      <c r="F176" s="148"/>
      <c r="G176" s="161"/>
      <c r="H176" s="196">
        <f>H177</f>
        <v>829000</v>
      </c>
    </row>
    <row r="177" spans="1:8" ht="38.25">
      <c r="A177" s="9"/>
      <c r="B177" s="10"/>
      <c r="C177" s="11"/>
      <c r="D177" s="538" t="s">
        <v>280</v>
      </c>
      <c r="E177" s="532" t="s">
        <v>228</v>
      </c>
      <c r="F177" s="532" t="s">
        <v>229</v>
      </c>
      <c r="G177" s="539">
        <f>600000+249000</f>
        <v>849000</v>
      </c>
      <c r="H177" s="540">
        <f>580000+249000</f>
        <v>829000</v>
      </c>
    </row>
    <row r="178" spans="1:8">
      <c r="A178" s="190"/>
      <c r="B178" s="124">
        <v>92695</v>
      </c>
      <c r="C178" s="125"/>
      <c r="D178" s="126" t="s">
        <v>8</v>
      </c>
      <c r="E178" s="126"/>
      <c r="F178" s="126"/>
      <c r="G178" s="126"/>
      <c r="H178" s="196">
        <f>H179</f>
        <v>825000</v>
      </c>
    </row>
    <row r="179" spans="1:8">
      <c r="A179" s="190"/>
      <c r="B179" s="124"/>
      <c r="C179" s="125">
        <v>6050</v>
      </c>
      <c r="D179" s="126" t="s">
        <v>98</v>
      </c>
      <c r="E179" s="148"/>
      <c r="F179" s="148"/>
      <c r="G179" s="161"/>
      <c r="H179" s="196">
        <f>SUM(H180:H184)</f>
        <v>825000</v>
      </c>
    </row>
    <row r="180" spans="1:8">
      <c r="A180" s="190"/>
      <c r="B180" s="124"/>
      <c r="C180" s="125"/>
      <c r="D180" s="126" t="s">
        <v>320</v>
      </c>
      <c r="E180" s="148" t="s">
        <v>228</v>
      </c>
      <c r="F180" s="148" t="s">
        <v>290</v>
      </c>
      <c r="G180" s="161">
        <v>250000</v>
      </c>
      <c r="H180" s="196">
        <v>200000</v>
      </c>
    </row>
    <row r="181" spans="1:8">
      <c r="A181" s="190"/>
      <c r="B181" s="124"/>
      <c r="C181" s="125"/>
      <c r="D181" s="126" t="s">
        <v>321</v>
      </c>
      <c r="E181" s="148" t="s">
        <v>228</v>
      </c>
      <c r="F181" s="148" t="s">
        <v>290</v>
      </c>
      <c r="G181" s="161">
        <v>250000</v>
      </c>
      <c r="H181" s="196">
        <v>125000</v>
      </c>
    </row>
    <row r="182" spans="1:8">
      <c r="A182" s="190"/>
      <c r="B182" s="124"/>
      <c r="C182" s="125"/>
      <c r="D182" s="126" t="s">
        <v>322</v>
      </c>
      <c r="E182" s="148" t="s">
        <v>228</v>
      </c>
      <c r="F182" s="148" t="s">
        <v>290</v>
      </c>
      <c r="G182" s="161">
        <v>250000</v>
      </c>
      <c r="H182" s="196">
        <v>200000</v>
      </c>
    </row>
    <row r="183" spans="1:8" ht="12.75" customHeight="1">
      <c r="A183" s="190"/>
      <c r="B183" s="124"/>
      <c r="C183" s="125"/>
      <c r="D183" s="126" t="s">
        <v>323</v>
      </c>
      <c r="E183" s="148" t="s">
        <v>228</v>
      </c>
      <c r="F183" s="148" t="s">
        <v>290</v>
      </c>
      <c r="G183" s="161">
        <v>250000</v>
      </c>
      <c r="H183" s="196">
        <v>150000</v>
      </c>
    </row>
    <row r="184" spans="1:8" ht="13.5" customHeight="1">
      <c r="A184" s="227"/>
      <c r="B184" s="192"/>
      <c r="C184" s="198"/>
      <c r="D184" s="127" t="s">
        <v>324</v>
      </c>
      <c r="E184" s="152" t="s">
        <v>228</v>
      </c>
      <c r="F184" s="152" t="s">
        <v>290</v>
      </c>
      <c r="G184" s="157">
        <v>250000</v>
      </c>
      <c r="H184" s="242">
        <v>150000</v>
      </c>
    </row>
    <row r="185" spans="1:8" ht="18" customHeight="1">
      <c r="A185" s="243"/>
      <c r="B185" s="199"/>
      <c r="C185" s="200"/>
      <c r="D185" s="201" t="s">
        <v>91</v>
      </c>
      <c r="E185" s="202"/>
      <c r="F185" s="202"/>
      <c r="G185" s="202"/>
      <c r="H185" s="203">
        <f>H9+H16+H65+H77+H81+H95+H109+H135+H148+H163</f>
        <v>66042386.649999999</v>
      </c>
    </row>
    <row r="186" spans="1:8" ht="15">
      <c r="F186" s="119"/>
    </row>
    <row r="187" spans="1:8" ht="15">
      <c r="F187" s="119"/>
    </row>
  </sheetData>
  <mergeCells count="1">
    <mergeCell ref="A4:H4"/>
  </mergeCells>
  <phoneticPr fontId="84" type="noConversion"/>
  <conditionalFormatting sqref="A26:B26">
    <cfRule type="expression" dxfId="209" priority="286" stopIfTrue="1">
      <formula>#REF! = "OGÓŁEM:"</formula>
    </cfRule>
    <cfRule type="expression" dxfId="208" priority="287" stopIfTrue="1">
      <formula>LEN($A26)&gt;1</formula>
    </cfRule>
    <cfRule type="expression" dxfId="207" priority="288" stopIfTrue="1">
      <formula>LEN($B26)&gt;1</formula>
    </cfRule>
  </conditionalFormatting>
  <conditionalFormatting sqref="A68:B69 A141:C141">
    <cfRule type="expression" dxfId="206" priority="243" stopIfTrue="1">
      <formula>LEN($B68)&gt;1</formula>
    </cfRule>
    <cfRule type="expression" dxfId="205" priority="242" stopIfTrue="1">
      <formula>LEN($A68)&gt;1</formula>
    </cfRule>
    <cfRule type="expression" dxfId="204" priority="241" stopIfTrue="1">
      <formula>#REF! = "OGÓŁEM:"</formula>
    </cfRule>
  </conditionalFormatting>
  <conditionalFormatting sqref="A113:B113">
    <cfRule type="expression" dxfId="203" priority="261" stopIfTrue="1">
      <formula>LEN($B113)&gt;1</formula>
    </cfRule>
    <cfRule type="expression" dxfId="202" priority="260" stopIfTrue="1">
      <formula>LEN($A113)&gt;1</formula>
    </cfRule>
    <cfRule type="expression" dxfId="201" priority="259" stopIfTrue="1">
      <formula>$D115 = "OGÓŁEM:"</formula>
    </cfRule>
  </conditionalFormatting>
  <conditionalFormatting sqref="A24:C25 A27:C29 B32:C46 A46 A47:C52 A102:D106 A112:C112 C113 A114:C114 A156:C157 A161:C162 A166:C166 A174:C174 A184:C184">
    <cfRule type="expression" dxfId="200" priority="133" stopIfTrue="1">
      <formula>$D24 = "OGÓŁEM:"</formula>
    </cfRule>
    <cfRule type="expression" dxfId="199" priority="134" stopIfTrue="1">
      <formula>LEN($A24)&gt;1</formula>
    </cfRule>
    <cfRule type="expression" dxfId="198" priority="135" stopIfTrue="1">
      <formula>LEN($B24)&gt;1</formula>
    </cfRule>
  </conditionalFormatting>
  <conditionalFormatting sqref="A53:C54 A59:C59">
    <cfRule type="expression" dxfId="197" priority="231" stopIfTrue="1">
      <formula>LEN($B53)&gt;1</formula>
    </cfRule>
    <cfRule type="expression" dxfId="196" priority="229" stopIfTrue="1">
      <formula>#REF! = "OGÓŁEM:"</formula>
    </cfRule>
    <cfRule type="expression" dxfId="195" priority="230" stopIfTrue="1">
      <formula>LEN($A53)&gt;1</formula>
    </cfRule>
  </conditionalFormatting>
  <conditionalFormatting sqref="A115:C117">
    <cfRule type="expression" dxfId="194" priority="252" stopIfTrue="1">
      <formula>LEN($B115)&gt;1</formula>
    </cfRule>
    <cfRule type="expression" dxfId="193" priority="251" stopIfTrue="1">
      <formula>LEN($A115)&gt;1</formula>
    </cfRule>
    <cfRule type="expression" dxfId="192" priority="250" stopIfTrue="1">
      <formula>#REF! = "OGÓŁEM:"</formula>
    </cfRule>
  </conditionalFormatting>
  <conditionalFormatting sqref="A127:C128">
    <cfRule type="expression" dxfId="191" priority="22" stopIfTrue="1">
      <formula>$D127 = "OGÓŁEM:"</formula>
    </cfRule>
    <cfRule type="expression" dxfId="190" priority="23" stopIfTrue="1">
      <formula>LEN($A127)&gt;1</formula>
    </cfRule>
    <cfRule type="expression" dxfId="189" priority="24" stopIfTrue="1">
      <formula>LEN($B127)&gt;1</formula>
    </cfRule>
  </conditionalFormatting>
  <conditionalFormatting sqref="A130:C132 F132 E132:E133 G132:H133">
    <cfRule type="expression" dxfId="188" priority="15" stopIfTrue="1">
      <formula>LEN($B130)&gt;1</formula>
    </cfRule>
    <cfRule type="expression" dxfId="187" priority="13" stopIfTrue="1">
      <formula>$D130 = "OGÓŁEM:"</formula>
    </cfRule>
    <cfRule type="expression" dxfId="186" priority="14" stopIfTrue="1">
      <formula>LEN($A130)&gt;1</formula>
    </cfRule>
  </conditionalFormatting>
  <conditionalFormatting sqref="A138:C138 E139:H139 A139:D140">
    <cfRule type="expression" dxfId="185" priority="73" stopIfTrue="1">
      <formula>$D138 = "OGÓŁEM:"</formula>
    </cfRule>
    <cfRule type="expression" dxfId="184" priority="74" stopIfTrue="1">
      <formula>LEN($A138)&gt;1</formula>
    </cfRule>
    <cfRule type="expression" dxfId="183" priority="75" stopIfTrue="1">
      <formula>LEN($B138)&gt;1</formula>
    </cfRule>
  </conditionalFormatting>
  <conditionalFormatting sqref="A167:C168">
    <cfRule type="expression" dxfId="182" priority="270" stopIfTrue="1">
      <formula>LEN($B167)&gt;1</formula>
    </cfRule>
    <cfRule type="expression" dxfId="181" priority="268" stopIfTrue="1">
      <formula>#REF! = "OGÓŁEM:"</formula>
    </cfRule>
    <cfRule type="expression" dxfId="180" priority="269" stopIfTrue="1">
      <formula>LEN($A167)&gt;1</formula>
    </cfRule>
  </conditionalFormatting>
  <conditionalFormatting sqref="A169:C169 A171:C171">
    <cfRule type="expression" dxfId="179" priority="274" stopIfTrue="1">
      <formula>$D172 = "OGÓŁEM:"</formula>
    </cfRule>
    <cfRule type="expression" dxfId="178" priority="275" stopIfTrue="1">
      <formula>LEN($A169)&gt;1</formula>
    </cfRule>
    <cfRule type="expression" dxfId="177" priority="276" stopIfTrue="1">
      <formula>LEN($B169)&gt;1</formula>
    </cfRule>
  </conditionalFormatting>
  <conditionalFormatting sqref="A170:C170">
    <cfRule type="expression" dxfId="176" priority="342" stopIfTrue="1">
      <formula>LEN($B170)&gt;1</formula>
    </cfRule>
    <cfRule type="expression" dxfId="175" priority="341" stopIfTrue="1">
      <formula>LEN($A170)&gt;1</formula>
    </cfRule>
    <cfRule type="expression" dxfId="174" priority="340" stopIfTrue="1">
      <formula>$D174 = "OGÓŁEM:"</formula>
    </cfRule>
  </conditionalFormatting>
  <conditionalFormatting sqref="A172:C173">
    <cfRule type="expression" dxfId="173" priority="266" stopIfTrue="1">
      <formula>LEN($A172)&gt;1</formula>
    </cfRule>
    <cfRule type="expression" dxfId="172" priority="265" stopIfTrue="1">
      <formula>$D167 = "OGÓŁEM:"</formula>
    </cfRule>
    <cfRule type="expression" dxfId="171" priority="267" stopIfTrue="1">
      <formula>LEN($B172)&gt;1</formula>
    </cfRule>
  </conditionalFormatting>
  <conditionalFormatting sqref="A20:D20">
    <cfRule type="expression" dxfId="170" priority="28" stopIfTrue="1">
      <formula>$D20 = "OGÓŁEM:"</formula>
    </cfRule>
    <cfRule type="expression" dxfId="169" priority="29" stopIfTrue="1">
      <formula>LEN($A20)&gt;1</formula>
    </cfRule>
    <cfRule type="expression" dxfId="168" priority="30" stopIfTrue="1">
      <formula>LEN($B20)&gt;1</formula>
    </cfRule>
  </conditionalFormatting>
  <conditionalFormatting sqref="A31:D31 A32:A44">
    <cfRule type="expression" dxfId="167" priority="132" stopIfTrue="1">
      <formula>LEN($B31)&gt;1</formula>
    </cfRule>
    <cfRule type="expression" dxfId="166" priority="131" stopIfTrue="1">
      <formula>LEN($A31)&gt;1</formula>
    </cfRule>
    <cfRule type="expression" dxfId="165" priority="130" stopIfTrue="1">
      <formula>$D31 = "OGÓŁEM:"</formula>
    </cfRule>
  </conditionalFormatting>
  <conditionalFormatting sqref="A63:D63 A64:C64">
    <cfRule type="expression" dxfId="164" priority="79" stopIfTrue="1">
      <formula>$D63 = "OGÓŁEM:"</formula>
    </cfRule>
    <cfRule type="expression" dxfId="163" priority="81" stopIfTrue="1">
      <formula>LEN($B63)&gt;1</formula>
    </cfRule>
    <cfRule type="expression" dxfId="162" priority="80" stopIfTrue="1">
      <formula>LEN($A63)&gt;1</formula>
    </cfRule>
  </conditionalFormatting>
  <conditionalFormatting sqref="A85:D85">
    <cfRule type="expression" dxfId="161" priority="102" stopIfTrue="1">
      <formula>LEN($B85)&gt;1</formula>
    </cfRule>
    <cfRule type="expression" dxfId="160" priority="101" stopIfTrue="1">
      <formula>LEN($A85)&gt;1</formula>
    </cfRule>
    <cfRule type="expression" dxfId="159" priority="100" stopIfTrue="1">
      <formula>$D85 = "OGÓŁEM:"</formula>
    </cfRule>
  </conditionalFormatting>
  <conditionalFormatting sqref="A88:D96">
    <cfRule type="expression" dxfId="158" priority="2" stopIfTrue="1">
      <formula>LEN($A88)&gt;1</formula>
    </cfRule>
    <cfRule type="expression" dxfId="157" priority="3" stopIfTrue="1">
      <formula>LEN($B88)&gt;1</formula>
    </cfRule>
    <cfRule type="expression" dxfId="156" priority="1" stopIfTrue="1">
      <formula>$D88 = "OGÓŁEM:"</formula>
    </cfRule>
  </conditionalFormatting>
  <conditionalFormatting sqref="A118:D118">
    <cfRule type="expression" dxfId="155" priority="76" stopIfTrue="1">
      <formula>$D118 = "OGÓŁEM:"</formula>
    </cfRule>
    <cfRule type="expression" dxfId="154" priority="77" stopIfTrue="1">
      <formula>LEN($A118)&gt;1</formula>
    </cfRule>
    <cfRule type="expression" dxfId="153" priority="78" stopIfTrue="1">
      <formula>LEN($B118)&gt;1</formula>
    </cfRule>
  </conditionalFormatting>
  <conditionalFormatting sqref="A123:D123">
    <cfRule type="expression" dxfId="152" priority="44" stopIfTrue="1">
      <formula>LEN($A123)&gt;1</formula>
    </cfRule>
    <cfRule type="expression" dxfId="151" priority="45" stopIfTrue="1">
      <formula>LEN($B123)&gt;1</formula>
    </cfRule>
    <cfRule type="expression" dxfId="150" priority="43" stopIfTrue="1">
      <formula>$D123 = "OGÓŁEM:"</formula>
    </cfRule>
  </conditionalFormatting>
  <conditionalFormatting sqref="A126:D126">
    <cfRule type="expression" dxfId="149" priority="31" stopIfTrue="1">
      <formula>$D126 = "OGÓŁEM:"</formula>
    </cfRule>
    <cfRule type="expression" dxfId="148" priority="32" stopIfTrue="1">
      <formula>LEN($A126)&gt;1</formula>
    </cfRule>
    <cfRule type="expression" dxfId="147" priority="33" stopIfTrue="1">
      <formula>LEN($B126)&gt;1</formula>
    </cfRule>
  </conditionalFormatting>
  <conditionalFormatting sqref="A129:D129">
    <cfRule type="expression" dxfId="146" priority="18" stopIfTrue="1">
      <formula>LEN($B129)&gt;1</formula>
    </cfRule>
    <cfRule type="expression" dxfId="145" priority="16" stopIfTrue="1">
      <formula>$D129 = "OGÓŁEM:"</formula>
    </cfRule>
    <cfRule type="expression" dxfId="144" priority="17" stopIfTrue="1">
      <formula>LEN($A129)&gt;1</formula>
    </cfRule>
  </conditionalFormatting>
  <conditionalFormatting sqref="A133:D133">
    <cfRule type="expression" dxfId="143" priority="7" stopIfTrue="1">
      <formula>$D133 = "OGÓŁEM:"</formula>
    </cfRule>
    <cfRule type="expression" dxfId="142" priority="8" stopIfTrue="1">
      <formula>LEN($A133)&gt;1</formula>
    </cfRule>
    <cfRule type="expression" dxfId="141" priority="9" stopIfTrue="1">
      <formula>LEN($B133)&gt;1</formula>
    </cfRule>
  </conditionalFormatting>
  <conditionalFormatting sqref="A146:D146">
    <cfRule type="expression" dxfId="140" priority="25" stopIfTrue="1">
      <formula>$D146 = "OGÓŁEM:"</formula>
    </cfRule>
    <cfRule type="expression" dxfId="139" priority="26" stopIfTrue="1">
      <formula>LEN($A146)&gt;1</formula>
    </cfRule>
    <cfRule type="expression" dxfId="138" priority="27" stopIfTrue="1">
      <formula>LEN($B146)&gt;1</formula>
    </cfRule>
  </conditionalFormatting>
  <conditionalFormatting sqref="A158:D158">
    <cfRule type="expression" dxfId="137" priority="62" stopIfTrue="1">
      <formula>LEN($A158)&gt;1</formula>
    </cfRule>
    <cfRule type="expression" dxfId="136" priority="63" stopIfTrue="1">
      <formula>LEN($B158)&gt;1</formula>
    </cfRule>
    <cfRule type="expression" dxfId="135" priority="61" stopIfTrue="1">
      <formula>$D158 = "OGÓŁEM:"</formula>
    </cfRule>
  </conditionalFormatting>
  <conditionalFormatting sqref="A160:D160">
    <cfRule type="expression" dxfId="134" priority="59" stopIfTrue="1">
      <formula>LEN($A160)&gt;1</formula>
    </cfRule>
    <cfRule type="expression" dxfId="133" priority="60" stopIfTrue="1">
      <formula>LEN($B160)&gt;1</formula>
    </cfRule>
    <cfRule type="expression" dxfId="132" priority="58" stopIfTrue="1">
      <formula>$D160 = "OGÓŁEM:"</formula>
    </cfRule>
  </conditionalFormatting>
  <conditionalFormatting sqref="A176:D176">
    <cfRule type="expression" dxfId="131" priority="54" stopIfTrue="1">
      <formula>LEN($B176)&gt;1</formula>
    </cfRule>
    <cfRule type="expression" dxfId="130" priority="53" stopIfTrue="1">
      <formula>LEN($A176)&gt;1</formula>
    </cfRule>
    <cfRule type="expression" dxfId="129" priority="52" stopIfTrue="1">
      <formula>$D176 = "OGÓŁEM:"</formula>
    </cfRule>
  </conditionalFormatting>
  <conditionalFormatting sqref="A9:H11 A12:C12 A15:C15 A19:C19 A21:C21 A23:D23 A55:C58 A60:C62 C68 A70:C70 A76:C76 A80:C80 A84:C84 A86:C86 A101:C101 A107:C108 A119:C122 A124:C125 A134:C134 A147:C147 A151:C151 A152:B153 A159:C159 A177:C177">
    <cfRule type="expression" dxfId="128" priority="152" stopIfTrue="1">
      <formula>LEN($A9)&gt;1</formula>
    </cfRule>
    <cfRule type="expression" dxfId="127" priority="153" stopIfTrue="1">
      <formula>LEN($B9)&gt;1</formula>
    </cfRule>
    <cfRule type="expression" dxfId="126" priority="151" stopIfTrue="1">
      <formula>$D9 = "OGÓŁEM:"</formula>
    </cfRule>
  </conditionalFormatting>
  <conditionalFormatting sqref="A13:H14">
    <cfRule type="expression" dxfId="125" priority="148" stopIfTrue="1">
      <formula>$D13 = "OGÓŁEM:"</formula>
    </cfRule>
    <cfRule type="expression" dxfId="124" priority="150" stopIfTrue="1">
      <formula>LEN($B13)&gt;1</formula>
    </cfRule>
    <cfRule type="expression" dxfId="123" priority="149" stopIfTrue="1">
      <formula>LEN($A13)&gt;1</formula>
    </cfRule>
  </conditionalFormatting>
  <conditionalFormatting sqref="A16:H18">
    <cfRule type="expression" dxfId="122" priority="143" stopIfTrue="1">
      <formula>LEN($A16)&gt;1</formula>
    </cfRule>
    <cfRule type="expression" dxfId="121" priority="142" stopIfTrue="1">
      <formula>$D16 = "OGÓŁEM:"</formula>
    </cfRule>
    <cfRule type="expression" dxfId="120" priority="144" stopIfTrue="1">
      <formula>LEN($B16)&gt;1</formula>
    </cfRule>
  </conditionalFormatting>
  <conditionalFormatting sqref="A22:H22">
    <cfRule type="expression" dxfId="119" priority="141" stopIfTrue="1">
      <formula>LEN($B22)&gt;1</formula>
    </cfRule>
    <cfRule type="expression" dxfId="118" priority="140" stopIfTrue="1">
      <formula>LEN($A22)&gt;1</formula>
    </cfRule>
    <cfRule type="expression" dxfId="117" priority="139" stopIfTrue="1">
      <formula>$D22 = "OGÓŁEM:"</formula>
    </cfRule>
  </conditionalFormatting>
  <conditionalFormatting sqref="A30:H30">
    <cfRule type="expression" dxfId="116" priority="128" stopIfTrue="1">
      <formula>LEN($A30)&gt;1</formula>
    </cfRule>
    <cfRule type="expression" dxfId="115" priority="129" stopIfTrue="1">
      <formula>LEN($B30)&gt;1</formula>
    </cfRule>
    <cfRule type="expression" dxfId="114" priority="127" stopIfTrue="1">
      <formula>$D30 = "OGÓŁEM:"</formula>
    </cfRule>
  </conditionalFormatting>
  <conditionalFormatting sqref="A65:H67">
    <cfRule type="expression" dxfId="113" priority="125" stopIfTrue="1">
      <formula>LEN($A65)&gt;1</formula>
    </cfRule>
    <cfRule type="expression" dxfId="112" priority="124" stopIfTrue="1">
      <formula>$D65 = "OGÓŁEM:"</formula>
    </cfRule>
    <cfRule type="expression" dxfId="111" priority="126" stopIfTrue="1">
      <formula>LEN($B65)&gt;1</formula>
    </cfRule>
  </conditionalFormatting>
  <conditionalFormatting sqref="A74:H75">
    <cfRule type="expression" dxfId="110" priority="112" stopIfTrue="1">
      <formula>$D74 = "OGÓŁEM:"</formula>
    </cfRule>
    <cfRule type="expression" dxfId="109" priority="113" stopIfTrue="1">
      <formula>LEN($A74)&gt;1</formula>
    </cfRule>
    <cfRule type="expression" dxfId="108" priority="114" stopIfTrue="1">
      <formula>LEN($B74)&gt;1</formula>
    </cfRule>
  </conditionalFormatting>
  <conditionalFormatting sqref="A87:H87">
    <cfRule type="expression" dxfId="107" priority="94" stopIfTrue="1">
      <formula>$D87 = "OGÓŁEM:"</formula>
    </cfRule>
    <cfRule type="expression" dxfId="106" priority="95" stopIfTrue="1">
      <formula>LEN($A87)&gt;1</formula>
    </cfRule>
    <cfRule type="expression" dxfId="105" priority="96" stopIfTrue="1">
      <formula>LEN($B87)&gt;1</formula>
    </cfRule>
  </conditionalFormatting>
  <conditionalFormatting sqref="A135:H137">
    <cfRule type="expression" dxfId="104" priority="36" stopIfTrue="1">
      <formula>LEN($B135)&gt;1</formula>
    </cfRule>
    <cfRule type="expression" dxfId="103" priority="35" stopIfTrue="1">
      <formula>LEN($A135)&gt;1</formula>
    </cfRule>
    <cfRule type="expression" dxfId="102" priority="34" stopIfTrue="1">
      <formula>$D135 = "OGÓŁEM:"</formula>
    </cfRule>
  </conditionalFormatting>
  <conditionalFormatting sqref="A175:H175">
    <cfRule type="expression" dxfId="101" priority="51" stopIfTrue="1">
      <formula>LEN($B175)&gt;1</formula>
    </cfRule>
    <cfRule type="expression" dxfId="100" priority="50" stopIfTrue="1">
      <formula>LEN($A175)&gt;1</formula>
    </cfRule>
    <cfRule type="expression" dxfId="99" priority="49" stopIfTrue="1">
      <formula>$D175 = "OGÓŁEM:"</formula>
    </cfRule>
  </conditionalFormatting>
  <conditionalFormatting sqref="A185:H185">
    <cfRule type="expression" dxfId="98" priority="42" stopIfTrue="1">
      <formula>LEN($B185)&gt;1</formula>
    </cfRule>
    <cfRule type="expression" dxfId="97" priority="40" stopIfTrue="1">
      <formula>$D185 = "OGÓŁEM:"</formula>
    </cfRule>
    <cfRule type="expression" dxfId="96" priority="41" stopIfTrue="1">
      <formula>LEN($A185)&gt;1</formula>
    </cfRule>
  </conditionalFormatting>
  <conditionalFormatting sqref="C26">
    <cfRule type="expression" dxfId="95" priority="289" stopIfTrue="1">
      <formula>$D26 = "OGÓŁEM:"</formula>
    </cfRule>
    <cfRule type="expression" dxfId="94" priority="290" stopIfTrue="1">
      <formula>LEN(#REF!)&gt;1</formula>
    </cfRule>
    <cfRule type="expression" dxfId="93" priority="291" stopIfTrue="1">
      <formula>LEN(#REF!)&gt;1</formula>
    </cfRule>
  </conditionalFormatting>
  <conditionalFormatting sqref="C69:D69">
    <cfRule type="expression" dxfId="92" priority="118" stopIfTrue="1">
      <formula>$D69 = "OGÓŁEM:"</formula>
    </cfRule>
    <cfRule type="expression" dxfId="91" priority="119" stopIfTrue="1">
      <formula>LEN($A69)&gt;1</formula>
    </cfRule>
    <cfRule type="expression" dxfId="90" priority="120" stopIfTrue="1">
      <formula>LEN($B69)&gt;1</formula>
    </cfRule>
  </conditionalFormatting>
  <conditionalFormatting sqref="C152:D152 C153">
    <cfRule type="expression" dxfId="89" priority="39" stopIfTrue="1">
      <formula>LEN($B152)&gt;1</formula>
    </cfRule>
    <cfRule type="expression" dxfId="88" priority="38" stopIfTrue="1">
      <formula>LEN($A152)&gt;1</formula>
    </cfRule>
    <cfRule type="expression" dxfId="87" priority="37" stopIfTrue="1">
      <formula>$D152 = "OGÓŁEM:"</formula>
    </cfRule>
  </conditionalFormatting>
  <conditionalFormatting sqref="D27:D28">
    <cfRule type="expression" dxfId="86" priority="99" stopIfTrue="1">
      <formula>LEN($B27)&gt;1</formula>
    </cfRule>
    <cfRule type="expression" dxfId="85" priority="98" stopIfTrue="1">
      <formula>LEN($A27)&gt;1</formula>
    </cfRule>
    <cfRule type="expression" dxfId="84" priority="97" stopIfTrue="1">
      <formula>$D27 = "OGÓŁEM:"</formula>
    </cfRule>
  </conditionalFormatting>
  <conditionalFormatting sqref="D132">
    <cfRule type="expression" dxfId="83" priority="12" stopIfTrue="1">
      <formula>LEN($B132)&gt;1</formula>
    </cfRule>
    <cfRule type="expression" dxfId="82" priority="10" stopIfTrue="1">
      <formula>$D132 = "OGÓŁEM:"</formula>
    </cfRule>
    <cfRule type="expression" dxfId="81" priority="11" stopIfTrue="1">
      <formula>LEN($A132)&gt;1</formula>
    </cfRule>
  </conditionalFormatting>
  <conditionalFormatting sqref="D128:H128">
    <cfRule type="expression" dxfId="80" priority="19" stopIfTrue="1">
      <formula>$D128 = "OGÓŁEM:"</formula>
    </cfRule>
    <cfRule type="expression" dxfId="79" priority="21" stopIfTrue="1">
      <formula>LEN($B128)&gt;1</formula>
    </cfRule>
    <cfRule type="expression" dxfId="78" priority="20" stopIfTrue="1">
      <formula>LEN($A128)&gt;1</formula>
    </cfRule>
  </conditionalFormatting>
  <conditionalFormatting sqref="E71:H71 A71:D73">
    <cfRule type="expression" dxfId="77" priority="116" stopIfTrue="1">
      <formula>LEN($A71)&gt;1</formula>
    </cfRule>
    <cfRule type="expression" dxfId="76" priority="115" stopIfTrue="1">
      <formula>$D71 = "OGÓŁEM:"</formula>
    </cfRule>
    <cfRule type="expression" dxfId="75" priority="117" stopIfTrue="1">
      <formula>LEN($B71)&gt;1</formula>
    </cfRule>
  </conditionalFormatting>
  <conditionalFormatting sqref="E77:H78 A77:D79">
    <cfRule type="expression" dxfId="74" priority="107" stopIfTrue="1">
      <formula>LEN($A77)&gt;1</formula>
    </cfRule>
    <cfRule type="expression" dxfId="73" priority="108" stopIfTrue="1">
      <formula>LEN($B77)&gt;1</formula>
    </cfRule>
    <cfRule type="expression" dxfId="72" priority="106" stopIfTrue="1">
      <formula>$D77 = "OGÓŁEM:"</formula>
    </cfRule>
  </conditionalFormatting>
  <conditionalFormatting sqref="E81:H82 A81:D83">
    <cfRule type="expression" dxfId="71" priority="104" stopIfTrue="1">
      <formula>LEN($A81)&gt;1</formula>
    </cfRule>
    <cfRule type="expression" dxfId="70" priority="103" stopIfTrue="1">
      <formula>$D81 = "OGÓŁEM:"</formula>
    </cfRule>
    <cfRule type="expression" dxfId="69" priority="105" stopIfTrue="1">
      <formula>LEN($B81)&gt;1</formula>
    </cfRule>
  </conditionalFormatting>
  <conditionalFormatting sqref="E95:H96 A97:H97">
    <cfRule type="expression" dxfId="68" priority="4" stopIfTrue="1">
      <formula>$D95 = "OGÓŁEM:"</formula>
    </cfRule>
    <cfRule type="expression" dxfId="67" priority="6" stopIfTrue="1">
      <formula>LEN($B95)&gt;1</formula>
    </cfRule>
    <cfRule type="expression" dxfId="66" priority="5" stopIfTrue="1">
      <formula>LEN($A95)&gt;1</formula>
    </cfRule>
  </conditionalFormatting>
  <conditionalFormatting sqref="E102:H102 E105:H105">
    <cfRule type="expression" dxfId="65" priority="87" stopIfTrue="1">
      <formula>LEN($B102)&gt;1</formula>
    </cfRule>
    <cfRule type="expression" dxfId="64" priority="86" stopIfTrue="1">
      <formula>LEN($A102)&gt;1</formula>
    </cfRule>
    <cfRule type="expression" dxfId="63" priority="85" stopIfTrue="1">
      <formula>$D102 = "OGÓŁEM:"</formula>
    </cfRule>
  </conditionalFormatting>
  <conditionalFormatting sqref="E109:H110 A109:D111">
    <cfRule type="expression" dxfId="62" priority="83" stopIfTrue="1">
      <formula>LEN($A109)&gt;1</formula>
    </cfRule>
    <cfRule type="expression" dxfId="61" priority="84" stopIfTrue="1">
      <formula>LEN($B109)&gt;1</formula>
    </cfRule>
    <cfRule type="expression" dxfId="60" priority="82" stopIfTrue="1">
      <formula>$D109 = "OGÓŁEM:"</formula>
    </cfRule>
  </conditionalFormatting>
  <conditionalFormatting sqref="E142:H142 A142:D143 A144:C145">
    <cfRule type="expression" dxfId="59" priority="71" stopIfTrue="1">
      <formula>LEN($A142)&gt;1</formula>
    </cfRule>
    <cfRule type="expression" dxfId="58" priority="70" stopIfTrue="1">
      <formula>$D142 = "OGÓŁEM:"</formula>
    </cfRule>
    <cfRule type="expression" dxfId="57" priority="72" stopIfTrue="1">
      <formula>LEN($B142)&gt;1</formula>
    </cfRule>
  </conditionalFormatting>
  <conditionalFormatting sqref="E148:H149 A148:D150">
    <cfRule type="expression" dxfId="56" priority="68" stopIfTrue="1">
      <formula>LEN($A148)&gt;1</formula>
    </cfRule>
    <cfRule type="expression" dxfId="55" priority="67" stopIfTrue="1">
      <formula>$D148 = "OGÓŁEM:"</formula>
    </cfRule>
    <cfRule type="expression" dxfId="54" priority="69" stopIfTrue="1">
      <formula>LEN($B148)&gt;1</formula>
    </cfRule>
  </conditionalFormatting>
  <conditionalFormatting sqref="E154:H154 A154:D155">
    <cfRule type="expression" dxfId="53" priority="66" stopIfTrue="1">
      <formula>LEN($B154)&gt;1</formula>
    </cfRule>
    <cfRule type="expression" dxfId="52" priority="65" stopIfTrue="1">
      <formula>LEN($A154)&gt;1</formula>
    </cfRule>
    <cfRule type="expression" dxfId="51" priority="64" stopIfTrue="1">
      <formula>$D154 = "OGÓŁEM:"</formula>
    </cfRule>
  </conditionalFormatting>
  <conditionalFormatting sqref="E163:H164 A163:D165">
    <cfRule type="expression" dxfId="50" priority="57" stopIfTrue="1">
      <formula>LEN($B163)&gt;1</formula>
    </cfRule>
    <cfRule type="expression" dxfId="49" priority="56" stopIfTrue="1">
      <formula>LEN($A163)&gt;1</formula>
    </cfRule>
    <cfRule type="expression" dxfId="48" priority="55" stopIfTrue="1">
      <formula>$D163 = "OGÓŁEM:"</formula>
    </cfRule>
  </conditionalFormatting>
  <conditionalFormatting sqref="E178:H178 A178:D183">
    <cfRule type="expression" dxfId="47" priority="48" stopIfTrue="1">
      <formula>LEN($B178)&gt;1</formula>
    </cfRule>
    <cfRule type="expression" dxfId="46" priority="47" stopIfTrue="1">
      <formula>LEN($A178)&gt;1</formula>
    </cfRule>
    <cfRule type="expression" dxfId="45" priority="46" stopIfTrue="1">
      <formula>$D178 = "OGÓŁEM:"</formula>
    </cfRule>
  </conditionalFormatting>
  <conditionalFormatting sqref="G98:H98 A98:D100 E99:H99">
    <cfRule type="expression" dxfId="44" priority="88" stopIfTrue="1">
      <formula>$D98 = "OGÓŁEM:"</formula>
    </cfRule>
    <cfRule type="expression" dxfId="43" priority="90" stopIfTrue="1">
      <formula>LEN($B98)&gt;1</formula>
    </cfRule>
    <cfRule type="expression" dxfId="42" priority="89" stopIfTrue="1">
      <formula>LEN($A98)&gt;1</formula>
    </cfRule>
  </conditionalFormatting>
  <pageMargins left="0.31496062992125984" right="0.31496062992125984" top="0.94488188976377963" bottom="0.55118110236220474" header="0.31496062992125984" footer="0.31496062992125984"/>
  <pageSetup paperSize="9" scale="74" orientation="portrait" r:id="rId1"/>
  <headerFooter>
    <oddHeader xml:space="preserve">&amp;RZałącznik Nr 2c
do Zarządzenia Nr 821/2024 
Wójta Gminy Komorniki z dnia 29 kwietnia 2024r.    
w sprawie uchwały budżetowej na 2024r.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55BC3-B9BE-48A4-88EB-7BEDACB53748}">
  <dimension ref="A1:C29"/>
  <sheetViews>
    <sheetView workbookViewId="0">
      <selection activeCell="B12" sqref="B12"/>
    </sheetView>
  </sheetViews>
  <sheetFormatPr defaultRowHeight="15"/>
  <cols>
    <col min="1" max="1" width="13.85546875" customWidth="1"/>
    <col min="2" max="2" width="64.7109375" customWidth="1"/>
    <col min="3" max="3" width="16.85546875" customWidth="1"/>
  </cols>
  <sheetData>
    <row r="1" spans="1:3">
      <c r="A1" s="350"/>
    </row>
    <row r="2" spans="1:3">
      <c r="A2" s="350"/>
    </row>
    <row r="3" spans="1:3">
      <c r="A3" s="350"/>
    </row>
    <row r="4" spans="1:3" ht="16.5">
      <c r="A4" s="14"/>
    </row>
    <row r="5" spans="1:3" ht="16.5">
      <c r="A5" s="14"/>
    </row>
    <row r="6" spans="1:3" ht="18.75">
      <c r="A6" s="351"/>
      <c r="B6" s="476" t="s">
        <v>371</v>
      </c>
      <c r="C6" s="85"/>
    </row>
    <row r="7" spans="1:3" ht="17.25">
      <c r="A7" s="352"/>
      <c r="B7" s="85"/>
      <c r="C7" s="85"/>
    </row>
    <row r="8" spans="1:3" ht="17.25">
      <c r="A8" s="353" t="s">
        <v>372</v>
      </c>
      <c r="B8" s="477">
        <f>+C14+C13+C12</f>
        <v>17253182</v>
      </c>
      <c r="C8" s="85"/>
    </row>
    <row r="9" spans="1:3" ht="18" thickBot="1">
      <c r="A9" s="353"/>
      <c r="B9" s="85"/>
      <c r="C9" s="85"/>
    </row>
    <row r="10" spans="1:3" ht="18.75" thickTop="1" thickBot="1">
      <c r="A10" s="354" t="s">
        <v>373</v>
      </c>
      <c r="B10" s="478" t="s">
        <v>193</v>
      </c>
      <c r="C10" s="479" t="s">
        <v>4</v>
      </c>
    </row>
    <row r="11" spans="1:3" ht="17.25">
      <c r="A11" s="355"/>
      <c r="B11" s="480"/>
      <c r="C11" s="481"/>
    </row>
    <row r="12" spans="1:3" ht="96" customHeight="1">
      <c r="A12" s="356">
        <v>905</v>
      </c>
      <c r="B12" s="482" t="s">
        <v>430</v>
      </c>
      <c r="C12" s="483">
        <v>353551</v>
      </c>
    </row>
    <row r="13" spans="1:3" ht="17.25">
      <c r="A13" s="356">
        <v>950</v>
      </c>
      <c r="B13" s="482" t="s">
        <v>423</v>
      </c>
      <c r="C13" s="483">
        <v>16244631</v>
      </c>
    </row>
    <row r="14" spans="1:3" ht="17.25">
      <c r="A14" s="356">
        <v>952</v>
      </c>
      <c r="B14" s="482" t="s">
        <v>374</v>
      </c>
      <c r="C14" s="483">
        <f>255000+400000-415000+415000</f>
        <v>655000</v>
      </c>
    </row>
    <row r="15" spans="1:3" ht="17.25">
      <c r="A15" s="357"/>
      <c r="B15" s="360"/>
      <c r="C15" s="361"/>
    </row>
    <row r="16" spans="1:3" ht="18" thickBot="1">
      <c r="A16" s="358"/>
      <c r="B16" s="362"/>
      <c r="C16" s="363"/>
    </row>
    <row r="17" spans="1:3" ht="18" thickTop="1">
      <c r="A17" s="359"/>
      <c r="B17" s="69"/>
      <c r="C17" s="69"/>
    </row>
    <row r="18" spans="1:3" ht="17.25">
      <c r="A18" s="359"/>
      <c r="B18" s="69"/>
      <c r="C18" s="69"/>
    </row>
    <row r="19" spans="1:3" ht="17.25">
      <c r="A19" s="484" t="s">
        <v>375</v>
      </c>
      <c r="B19" s="477">
        <f>C23+C26</f>
        <v>6181020</v>
      </c>
      <c r="C19" s="85"/>
    </row>
    <row r="20" spans="1:3" ht="18" thickBot="1">
      <c r="A20" s="485"/>
      <c r="B20" s="85"/>
      <c r="C20" s="85"/>
    </row>
    <row r="21" spans="1:3" ht="18.75" thickTop="1" thickBot="1">
      <c r="A21" s="486" t="s">
        <v>373</v>
      </c>
      <c r="B21" s="478" t="s">
        <v>193</v>
      </c>
      <c r="C21" s="479" t="s">
        <v>4</v>
      </c>
    </row>
    <row r="22" spans="1:3" ht="17.25">
      <c r="A22" s="487"/>
      <c r="B22" s="488"/>
      <c r="C22" s="481"/>
    </row>
    <row r="23" spans="1:3" ht="17.25">
      <c r="A23" s="487">
        <v>992</v>
      </c>
      <c r="B23" s="480" t="s">
        <v>376</v>
      </c>
      <c r="C23" s="489">
        <v>181020</v>
      </c>
    </row>
    <row r="24" spans="1:3" ht="17.25">
      <c r="A24" s="490"/>
      <c r="B24" s="480"/>
      <c r="C24" s="481"/>
    </row>
    <row r="25" spans="1:3" ht="17.25">
      <c r="A25" s="490"/>
      <c r="B25" s="480"/>
      <c r="C25" s="481"/>
    </row>
    <row r="26" spans="1:3" ht="17.25">
      <c r="A26" s="491">
        <v>982</v>
      </c>
      <c r="B26" s="480" t="s">
        <v>377</v>
      </c>
      <c r="C26" s="489">
        <v>6000000</v>
      </c>
    </row>
    <row r="27" spans="1:3" ht="17.25">
      <c r="A27" s="491"/>
      <c r="B27" s="488"/>
      <c r="C27" s="481"/>
    </row>
    <row r="28" spans="1:3" ht="18" thickBot="1">
      <c r="A28" s="492"/>
      <c r="B28" s="493"/>
      <c r="C28" s="494"/>
    </row>
    <row r="29" spans="1:3" ht="15.75" thickTop="1"/>
  </sheetData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 xml:space="preserve">&amp;RZałącznik Nr 3
do Uchwały Nr II/.../2024 
Rady Gminy Komorniki z dnia 22 maja 2024r.    
w sprawie uchwały budżetowej na 2024r.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0674B-B336-4E86-B256-76CD50273554}">
  <dimension ref="A1:I50"/>
  <sheetViews>
    <sheetView workbookViewId="0">
      <selection activeCell="E27" sqref="E27"/>
    </sheetView>
  </sheetViews>
  <sheetFormatPr defaultRowHeight="15"/>
  <cols>
    <col min="1" max="1" width="12.140625" customWidth="1"/>
    <col min="2" max="2" width="11" customWidth="1"/>
    <col min="4" max="4" width="27.42578125" customWidth="1"/>
    <col min="5" max="5" width="22.7109375" customWidth="1"/>
    <col min="7" max="7" width="12.42578125" bestFit="1" customWidth="1"/>
    <col min="9" max="9" width="12.42578125" bestFit="1" customWidth="1"/>
  </cols>
  <sheetData>
    <row r="1" spans="1:9" ht="16.5">
      <c r="A1" s="14"/>
      <c r="H1" s="14"/>
    </row>
    <row r="2" spans="1:9" ht="16.5">
      <c r="A2" s="14"/>
      <c r="H2" s="14"/>
    </row>
    <row r="3" spans="1:9" ht="17.25">
      <c r="A3" s="16" t="s">
        <v>194</v>
      </c>
      <c r="B3" s="17"/>
      <c r="C3" s="17"/>
      <c r="D3" s="17"/>
      <c r="E3" s="17"/>
      <c r="F3" s="15"/>
    </row>
    <row r="4" spans="1:9" ht="17.25">
      <c r="A4" s="16" t="s">
        <v>215</v>
      </c>
      <c r="B4" s="18"/>
      <c r="C4" s="18"/>
      <c r="D4" s="18"/>
      <c r="E4" s="18"/>
      <c r="F4" s="19"/>
    </row>
    <row r="5" spans="1:9" ht="7.5" customHeight="1">
      <c r="A5" s="20"/>
      <c r="B5" s="15"/>
      <c r="C5" s="15"/>
      <c r="D5" s="15"/>
      <c r="E5" s="15"/>
      <c r="F5" s="15"/>
    </row>
    <row r="6" spans="1:9" ht="16.5" thickBot="1">
      <c r="A6" s="585" t="s">
        <v>195</v>
      </c>
      <c r="B6" s="586"/>
      <c r="C6" s="586"/>
      <c r="D6" s="586"/>
      <c r="E6" s="116">
        <f>SUM(E9:E25)</f>
        <v>22599339</v>
      </c>
      <c r="F6" s="21"/>
      <c r="G6" s="22"/>
    </row>
    <row r="7" spans="1:9" ht="15.75">
      <c r="A7" s="93" t="s">
        <v>0</v>
      </c>
      <c r="B7" s="115" t="s">
        <v>1</v>
      </c>
      <c r="C7" s="115" t="s">
        <v>2</v>
      </c>
      <c r="D7" s="115" t="s">
        <v>196</v>
      </c>
      <c r="E7" s="115" t="s">
        <v>197</v>
      </c>
      <c r="F7" s="15"/>
    </row>
    <row r="8" spans="1:9" ht="11.25" customHeight="1" thickBot="1">
      <c r="A8" s="113">
        <v>1</v>
      </c>
      <c r="B8" s="114">
        <v>2</v>
      </c>
      <c r="C8" s="114">
        <v>3</v>
      </c>
      <c r="D8" s="114">
        <v>4</v>
      </c>
      <c r="E8" s="114">
        <v>5</v>
      </c>
      <c r="F8" s="15"/>
    </row>
    <row r="9" spans="1:9" ht="15.75">
      <c r="A9" s="105">
        <v>600</v>
      </c>
      <c r="B9" s="106">
        <v>60001</v>
      </c>
      <c r="C9" s="106">
        <v>2710</v>
      </c>
      <c r="D9" s="106" t="s">
        <v>198</v>
      </c>
      <c r="E9" s="107">
        <v>293275</v>
      </c>
      <c r="F9" s="15"/>
      <c r="G9" s="23"/>
    </row>
    <row r="10" spans="1:9" ht="15.75">
      <c r="A10" s="108">
        <v>600</v>
      </c>
      <c r="B10" s="109">
        <v>60004</v>
      </c>
      <c r="C10" s="109">
        <v>2310</v>
      </c>
      <c r="D10" s="109" t="s">
        <v>199</v>
      </c>
      <c r="E10" s="110">
        <v>9400000</v>
      </c>
      <c r="F10" s="15"/>
      <c r="G10" s="23"/>
      <c r="I10" s="23"/>
    </row>
    <row r="11" spans="1:9" ht="15.75">
      <c r="A11" s="108">
        <v>600</v>
      </c>
      <c r="B11" s="109">
        <v>60004</v>
      </c>
      <c r="C11" s="109">
        <v>2900</v>
      </c>
      <c r="D11" s="109" t="s">
        <v>199</v>
      </c>
      <c r="E11" s="110">
        <v>120637</v>
      </c>
      <c r="F11" s="15"/>
      <c r="G11" s="23"/>
      <c r="I11" s="23"/>
    </row>
    <row r="12" spans="1:9" ht="15.75">
      <c r="A12" s="108">
        <v>600</v>
      </c>
      <c r="B12" s="109">
        <v>60004</v>
      </c>
      <c r="C12" s="109">
        <v>6650</v>
      </c>
      <c r="D12" s="109" t="s">
        <v>199</v>
      </c>
      <c r="E12" s="110">
        <v>56434</v>
      </c>
      <c r="F12" s="15"/>
      <c r="G12" s="23"/>
      <c r="I12" s="23"/>
    </row>
    <row r="13" spans="1:9" ht="15.75">
      <c r="A13" s="108">
        <v>600</v>
      </c>
      <c r="B13" s="109">
        <v>60014</v>
      </c>
      <c r="C13" s="109">
        <v>6300</v>
      </c>
      <c r="D13" s="109" t="s">
        <v>199</v>
      </c>
      <c r="E13" s="110">
        <f>150000-120000+1096668</f>
        <v>1126668</v>
      </c>
      <c r="F13" s="15"/>
    </row>
    <row r="14" spans="1:9" ht="15.75">
      <c r="A14" s="108">
        <v>801</v>
      </c>
      <c r="B14" s="109">
        <v>80101</v>
      </c>
      <c r="C14" s="109">
        <v>2710</v>
      </c>
      <c r="D14" s="109" t="s">
        <v>199</v>
      </c>
      <c r="E14" s="110">
        <v>129000</v>
      </c>
      <c r="F14" s="15"/>
    </row>
    <row r="15" spans="1:9" ht="15.75">
      <c r="A15" s="108">
        <v>801</v>
      </c>
      <c r="B15" s="109">
        <v>80103</v>
      </c>
      <c r="C15" s="109">
        <v>2310</v>
      </c>
      <c r="D15" s="109" t="s">
        <v>199</v>
      </c>
      <c r="E15" s="110">
        <v>40000</v>
      </c>
      <c r="F15" s="15"/>
    </row>
    <row r="16" spans="1:9" ht="15.75">
      <c r="A16" s="108">
        <v>801</v>
      </c>
      <c r="B16" s="109">
        <v>80104</v>
      </c>
      <c r="C16" s="109">
        <v>2310</v>
      </c>
      <c r="D16" s="109" t="s">
        <v>199</v>
      </c>
      <c r="E16" s="110">
        <f>3250000+700000</f>
        <v>3950000</v>
      </c>
      <c r="F16" s="15"/>
    </row>
    <row r="17" spans="1:7" ht="15.75">
      <c r="A17" s="108">
        <v>801</v>
      </c>
      <c r="B17" s="109">
        <v>80132</v>
      </c>
      <c r="C17" s="109">
        <v>2710</v>
      </c>
      <c r="D17" s="109" t="s">
        <v>199</v>
      </c>
      <c r="E17" s="110">
        <v>91000</v>
      </c>
      <c r="F17" s="15"/>
    </row>
    <row r="18" spans="1:7" ht="15.75">
      <c r="A18" s="108">
        <v>851</v>
      </c>
      <c r="B18" s="109">
        <v>85158</v>
      </c>
      <c r="C18" s="109">
        <v>2710</v>
      </c>
      <c r="D18" s="109" t="s">
        <v>199</v>
      </c>
      <c r="E18" s="110">
        <v>104143</v>
      </c>
      <c r="F18" s="15"/>
    </row>
    <row r="19" spans="1:7" ht="15.75">
      <c r="A19" s="108">
        <v>854</v>
      </c>
      <c r="B19" s="109">
        <v>85406</v>
      </c>
      <c r="C19" s="109">
        <v>2710</v>
      </c>
      <c r="D19" s="109" t="s">
        <v>199</v>
      </c>
      <c r="E19" s="110">
        <v>60000</v>
      </c>
      <c r="F19" s="15"/>
    </row>
    <row r="20" spans="1:7" ht="15.75">
      <c r="A20" s="108">
        <v>900</v>
      </c>
      <c r="B20" s="109">
        <v>90013</v>
      </c>
      <c r="C20" s="109">
        <v>2900</v>
      </c>
      <c r="D20" s="109" t="s">
        <v>199</v>
      </c>
      <c r="E20" s="110">
        <v>355000</v>
      </c>
      <c r="F20" s="15"/>
    </row>
    <row r="21" spans="1:7" ht="15.75">
      <c r="A21" s="108">
        <v>900</v>
      </c>
      <c r="B21" s="109">
        <v>90026</v>
      </c>
      <c r="C21" s="109">
        <v>2320</v>
      </c>
      <c r="D21" s="109" t="s">
        <v>199</v>
      </c>
      <c r="E21" s="110">
        <v>30000</v>
      </c>
      <c r="F21" s="15"/>
    </row>
    <row r="22" spans="1:7" ht="15.75">
      <c r="A22" s="108">
        <v>900</v>
      </c>
      <c r="B22" s="109">
        <v>90026</v>
      </c>
      <c r="C22" s="109">
        <v>2900</v>
      </c>
      <c r="D22" s="109" t="s">
        <v>199</v>
      </c>
      <c r="E22" s="110">
        <v>80000</v>
      </c>
      <c r="F22" s="15"/>
    </row>
    <row r="23" spans="1:7" ht="15.75">
      <c r="A23" s="108">
        <v>921</v>
      </c>
      <c r="B23" s="109">
        <v>92109</v>
      </c>
      <c r="C23" s="109">
        <v>2480</v>
      </c>
      <c r="D23" s="109" t="s">
        <v>200</v>
      </c>
      <c r="E23" s="110">
        <f>4300000+100000+365000</f>
        <v>4765000</v>
      </c>
      <c r="F23" s="15"/>
    </row>
    <row r="24" spans="1:7" ht="15.75">
      <c r="A24" s="108">
        <v>921</v>
      </c>
      <c r="B24" s="109">
        <v>92116</v>
      </c>
      <c r="C24" s="109">
        <v>2480</v>
      </c>
      <c r="D24" s="109" t="s">
        <v>200</v>
      </c>
      <c r="E24" s="110">
        <f>1673182+135000</f>
        <v>1808182</v>
      </c>
      <c r="F24" s="15"/>
      <c r="G24" s="23"/>
    </row>
    <row r="25" spans="1:7" ht="16.5" thickBot="1">
      <c r="A25" s="287">
        <v>921</v>
      </c>
      <c r="B25" s="288">
        <v>92116</v>
      </c>
      <c r="C25" s="288">
        <v>2800</v>
      </c>
      <c r="D25" s="288" t="s">
        <v>199</v>
      </c>
      <c r="E25" s="289">
        <v>190000</v>
      </c>
      <c r="F25" s="15"/>
    </row>
    <row r="26" spans="1:7" ht="6" customHeight="1">
      <c r="A26" s="81"/>
      <c r="B26" s="69"/>
      <c r="C26" s="69"/>
      <c r="D26" s="69"/>
      <c r="E26" s="69"/>
      <c r="F26" s="15"/>
      <c r="G26" s="23"/>
    </row>
    <row r="27" spans="1:7" ht="15.75" customHeight="1" thickBot="1">
      <c r="A27" s="587" t="s">
        <v>201</v>
      </c>
      <c r="B27" s="588"/>
      <c r="C27" s="588"/>
      <c r="D27" s="588"/>
      <c r="E27" s="117">
        <f>SUM(E30:E50)</f>
        <v>48200360.720000006</v>
      </c>
      <c r="F27" s="15"/>
    </row>
    <row r="28" spans="1:7" ht="15.75">
      <c r="A28" s="111" t="s">
        <v>0</v>
      </c>
      <c r="B28" s="112" t="s">
        <v>1</v>
      </c>
      <c r="C28" s="112" t="s">
        <v>2</v>
      </c>
      <c r="D28" s="112" t="s">
        <v>196</v>
      </c>
      <c r="E28" s="112" t="s">
        <v>197</v>
      </c>
      <c r="F28" s="15"/>
    </row>
    <row r="29" spans="1:7" ht="12.75" customHeight="1" thickBot="1">
      <c r="A29" s="113">
        <v>1</v>
      </c>
      <c r="B29" s="114">
        <v>2</v>
      </c>
      <c r="C29" s="114">
        <v>3</v>
      </c>
      <c r="D29" s="114">
        <v>4</v>
      </c>
      <c r="E29" s="114">
        <v>5</v>
      </c>
      <c r="F29" s="15"/>
    </row>
    <row r="30" spans="1:7" ht="15.75">
      <c r="A30" s="108">
        <v>801</v>
      </c>
      <c r="B30" s="109">
        <v>80101</v>
      </c>
      <c r="C30" s="109">
        <v>2540</v>
      </c>
      <c r="D30" s="109" t="s">
        <v>200</v>
      </c>
      <c r="E30" s="110">
        <v>2470000</v>
      </c>
      <c r="F30" s="15"/>
    </row>
    <row r="31" spans="1:7" ht="15.75">
      <c r="A31" s="108">
        <v>801</v>
      </c>
      <c r="B31" s="109">
        <v>80103</v>
      </c>
      <c r="C31" s="109">
        <v>2540</v>
      </c>
      <c r="D31" s="109" t="s">
        <v>202</v>
      </c>
      <c r="E31" s="110">
        <v>340000</v>
      </c>
      <c r="F31" s="15"/>
    </row>
    <row r="32" spans="1:7" ht="15.75">
      <c r="A32" s="108">
        <v>801</v>
      </c>
      <c r="B32" s="109">
        <v>80104</v>
      </c>
      <c r="C32" s="109">
        <v>2540</v>
      </c>
      <c r="D32" s="109" t="s">
        <v>200</v>
      </c>
      <c r="E32" s="110">
        <f>3000000+500000</f>
        <v>3500000</v>
      </c>
      <c r="F32" s="15"/>
    </row>
    <row r="33" spans="1:7" ht="15.75">
      <c r="A33" s="108">
        <v>801</v>
      </c>
      <c r="B33" s="109">
        <v>80104</v>
      </c>
      <c r="C33" s="109">
        <v>2590</v>
      </c>
      <c r="D33" s="109" t="s">
        <v>200</v>
      </c>
      <c r="E33" s="110">
        <f>22408333+150000+4200000</f>
        <v>26758333</v>
      </c>
      <c r="F33" s="15"/>
    </row>
    <row r="34" spans="1:7" ht="15.75">
      <c r="A34" s="108">
        <v>801</v>
      </c>
      <c r="B34" s="109">
        <v>80106</v>
      </c>
      <c r="C34" s="109">
        <v>2540</v>
      </c>
      <c r="D34" s="109" t="s">
        <v>200</v>
      </c>
      <c r="E34" s="110">
        <f>175000+50000</f>
        <v>225000</v>
      </c>
      <c r="F34" s="15"/>
    </row>
    <row r="35" spans="1:7" ht="15.75">
      <c r="A35" s="108">
        <v>801</v>
      </c>
      <c r="B35" s="109">
        <v>80149</v>
      </c>
      <c r="C35" s="109">
        <v>2540</v>
      </c>
      <c r="D35" s="109" t="s">
        <v>200</v>
      </c>
      <c r="E35" s="110">
        <f>3900000+1600000</f>
        <v>5500000</v>
      </c>
      <c r="F35" s="15"/>
    </row>
    <row r="36" spans="1:7" ht="15.75">
      <c r="A36" s="108">
        <v>801</v>
      </c>
      <c r="B36" s="109">
        <v>80149</v>
      </c>
      <c r="C36" s="109">
        <v>2590</v>
      </c>
      <c r="D36" s="109" t="s">
        <v>200</v>
      </c>
      <c r="E36" s="110">
        <f>3200000+2500000</f>
        <v>5700000</v>
      </c>
      <c r="F36" s="15"/>
    </row>
    <row r="37" spans="1:7" ht="15.75">
      <c r="A37" s="108">
        <v>801</v>
      </c>
      <c r="B37" s="109">
        <v>80195</v>
      </c>
      <c r="C37" s="109">
        <v>2540</v>
      </c>
      <c r="D37" s="109" t="s">
        <v>200</v>
      </c>
      <c r="E37" s="110">
        <f>105200.64-81024.46+33418.58+25594.08</f>
        <v>83188.84</v>
      </c>
      <c r="F37" s="15"/>
    </row>
    <row r="38" spans="1:7" ht="15.75">
      <c r="A38" s="108">
        <v>801</v>
      </c>
      <c r="B38" s="109">
        <v>80195</v>
      </c>
      <c r="C38" s="109">
        <v>2590</v>
      </c>
      <c r="D38" s="109" t="s">
        <v>200</v>
      </c>
      <c r="E38" s="110">
        <f>24176.18+81024.46+121638.24</f>
        <v>226838.88</v>
      </c>
      <c r="F38" s="15"/>
    </row>
    <row r="39" spans="1:7" ht="15.75">
      <c r="A39" s="108">
        <v>851</v>
      </c>
      <c r="B39" s="109">
        <v>85149</v>
      </c>
      <c r="C39" s="109">
        <v>2780</v>
      </c>
      <c r="D39" s="109" t="s">
        <v>199</v>
      </c>
      <c r="E39" s="110">
        <v>120000</v>
      </c>
      <c r="F39" s="15"/>
    </row>
    <row r="40" spans="1:7" ht="15.75">
      <c r="A40" s="108">
        <v>852</v>
      </c>
      <c r="B40" s="109">
        <v>85295</v>
      </c>
      <c r="C40" s="109">
        <v>2360</v>
      </c>
      <c r="D40" s="109" t="s">
        <v>199</v>
      </c>
      <c r="E40" s="110">
        <v>35000</v>
      </c>
      <c r="F40" s="15"/>
    </row>
    <row r="41" spans="1:7" ht="15.75">
      <c r="A41" s="282">
        <v>853</v>
      </c>
      <c r="B41" s="283">
        <v>85395</v>
      </c>
      <c r="C41" s="283">
        <v>2360</v>
      </c>
      <c r="D41" s="283" t="s">
        <v>199</v>
      </c>
      <c r="E41" s="284">
        <v>60000</v>
      </c>
      <c r="F41" s="15"/>
    </row>
    <row r="42" spans="1:7" ht="15.75">
      <c r="A42" s="282">
        <v>854</v>
      </c>
      <c r="B42" s="283">
        <v>85495</v>
      </c>
      <c r="C42" s="283">
        <v>2360</v>
      </c>
      <c r="D42" s="283" t="s">
        <v>199</v>
      </c>
      <c r="E42" s="284">
        <v>50000</v>
      </c>
      <c r="F42" s="15"/>
    </row>
    <row r="43" spans="1:7" ht="15.75">
      <c r="A43" s="108">
        <v>855</v>
      </c>
      <c r="B43" s="109">
        <v>85516</v>
      </c>
      <c r="C43" s="109">
        <v>2830</v>
      </c>
      <c r="D43" s="109" t="s">
        <v>199</v>
      </c>
      <c r="E43" s="110">
        <v>1380000</v>
      </c>
      <c r="F43" s="15"/>
    </row>
    <row r="44" spans="1:7" ht="15.75">
      <c r="A44" s="108">
        <v>900</v>
      </c>
      <c r="B44" s="109">
        <v>90001</v>
      </c>
      <c r="C44" s="109">
        <v>6230</v>
      </c>
      <c r="D44" s="109" t="s">
        <v>199</v>
      </c>
      <c r="E44" s="110">
        <v>180000</v>
      </c>
      <c r="F44" s="15"/>
    </row>
    <row r="45" spans="1:7" ht="15.75">
      <c r="A45" s="108">
        <v>900</v>
      </c>
      <c r="B45" s="109">
        <v>90005</v>
      </c>
      <c r="C45" s="109">
        <v>6230</v>
      </c>
      <c r="D45" s="109" t="s">
        <v>199</v>
      </c>
      <c r="E45" s="110">
        <f>220000+56000</f>
        <v>276000</v>
      </c>
      <c r="F45" s="15"/>
    </row>
    <row r="46" spans="1:7" ht="15.75">
      <c r="A46" s="108">
        <v>900</v>
      </c>
      <c r="B46" s="109">
        <v>90095</v>
      </c>
      <c r="C46" s="109">
        <v>2360</v>
      </c>
      <c r="D46" s="109" t="s">
        <v>199</v>
      </c>
      <c r="E46" s="110">
        <v>6000</v>
      </c>
      <c r="F46" s="15"/>
    </row>
    <row r="47" spans="1:7" ht="15.75">
      <c r="A47" s="282">
        <v>921</v>
      </c>
      <c r="B47" s="283">
        <v>92105</v>
      </c>
      <c r="C47" s="283">
        <v>2360</v>
      </c>
      <c r="D47" s="283" t="s">
        <v>199</v>
      </c>
      <c r="E47" s="284">
        <v>10000</v>
      </c>
      <c r="F47" s="15"/>
    </row>
    <row r="48" spans="1:7" ht="15.75">
      <c r="A48" s="108">
        <v>921</v>
      </c>
      <c r="B48" s="109">
        <v>92120</v>
      </c>
      <c r="C48" s="109">
        <v>6570</v>
      </c>
      <c r="D48" s="109" t="s">
        <v>199</v>
      </c>
      <c r="E48" s="110">
        <f>842800+17200</f>
        <v>860000</v>
      </c>
      <c r="F48" s="15"/>
      <c r="G48" s="23"/>
    </row>
    <row r="49" spans="1:6" ht="15.75">
      <c r="A49" s="282">
        <v>926</v>
      </c>
      <c r="B49" s="283">
        <v>92605</v>
      </c>
      <c r="C49" s="283">
        <v>2360</v>
      </c>
      <c r="D49" s="283" t="s">
        <v>199</v>
      </c>
      <c r="E49" s="284">
        <v>420000</v>
      </c>
      <c r="F49" s="15"/>
    </row>
    <row r="50" spans="1:6" ht="16.5" thickBot="1">
      <c r="A50" s="24"/>
      <c r="B50" s="25"/>
      <c r="C50" s="25"/>
      <c r="D50" s="25"/>
      <c r="E50" s="26"/>
      <c r="F50" s="15"/>
    </row>
  </sheetData>
  <mergeCells count="2">
    <mergeCell ref="A6:D6"/>
    <mergeCell ref="A27:D27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Header xml:space="preserve">&amp;RZałącznik Nr 4
do Uchwały Nr II/.../2024 
Rady Gminy Komorniki z dnia 22 maja 2024r.    
w sprawie uchwały budżetowej na 2024r.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Nazwane zakresy</vt:lpstr>
      </vt:variant>
      <vt:variant>
        <vt:i4>3</vt:i4>
      </vt:variant>
    </vt:vector>
  </HeadingPairs>
  <TitlesOfParts>
    <vt:vector size="17" baseType="lpstr">
      <vt:lpstr>Dochody(1)</vt:lpstr>
      <vt:lpstr>Dochody-zlecone(1a)</vt:lpstr>
      <vt:lpstr>dochody majątkowe(1B)</vt:lpstr>
      <vt:lpstr>Wydatki(2)</vt:lpstr>
      <vt:lpstr>Wydatki-zlecone(2a)</vt:lpstr>
      <vt:lpstr>wydatki-majątkowe(2b)</vt:lpstr>
      <vt:lpstr>inwestycje(2c)</vt:lpstr>
      <vt:lpstr>przychody_rozchody(3)</vt:lpstr>
      <vt:lpstr>dotacje(4)</vt:lpstr>
      <vt:lpstr>ochr_środ(5)</vt:lpstr>
      <vt:lpstr>sołtysi(6)</vt:lpstr>
      <vt:lpstr>środki europ(7)</vt:lpstr>
      <vt:lpstr>COVID19(8)</vt:lpstr>
      <vt:lpstr>Fundusz Pomocy (9)</vt:lpstr>
      <vt:lpstr>'Dochody(1)'!Tytuły_wydruku</vt:lpstr>
      <vt:lpstr>'Wydatki(2)'!Tytuły_wydruku</vt:lpstr>
      <vt:lpstr>'wydatki-majątkowe(2b)'!Tytuły_wydruku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2022-02-14T00:04:27Z</dcterms:created>
  <dcterms:modified xsi:type="dcterms:W3CDTF">2024-05-22T11:55:58Z</dcterms:modified>
</cp:coreProperties>
</file>